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rUS3HFGXqYfo3Ou8Yf6ndfjiQKpriKqDMe6LpZnrcESmcytGATnfZulcZ8lR6BxrbFDNgRLVOM3KQF3QcO/GTA==" workbookSaltValue="cn3C7Tb0Jy4O7afTFiLzHQ=="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G17" i="13" s="1"/>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L10" i="2" s="1"/>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Z14" i="17" s="1"/>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C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G22" i="2"/>
  <c r="E16" i="2"/>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BD9" i="8" s="1"/>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G26" i="2" s="1"/>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P13" i="14"/>
  <c r="S26" i="12"/>
  <c r="AN23" i="17"/>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R13" i="17"/>
  <c r="BD11" i="13"/>
  <c r="BD18" i="8"/>
  <c r="E23" i="12"/>
  <c r="AP9" i="11"/>
  <c r="BE12" i="21"/>
  <c r="BE14" i="21" s="1"/>
  <c r="BE31" i="21" s="1"/>
  <c r="EN31" i="8"/>
  <c r="BA14" i="16"/>
  <c r="N29" i="11"/>
  <c r="N10" i="11"/>
  <c r="N11" i="11"/>
  <c r="M26" i="2"/>
  <c r="ES31" i="8"/>
  <c r="G23" i="12"/>
  <c r="R8" i="9"/>
  <c r="AP17" i="20" s="1"/>
  <c r="EP31" i="8"/>
  <c r="ER31" i="13"/>
  <c r="EP31" i="19"/>
  <c r="BG25" i="11"/>
  <c r="BF18" i="11"/>
  <c r="AZ19" i="11"/>
  <c r="S14" i="16"/>
  <c r="P14" i="16"/>
  <c r="F13" i="16"/>
  <c r="N30" i="16"/>
  <c r="H14" i="21"/>
  <c r="K26" i="2"/>
  <c r="N26" i="2"/>
  <c r="M23" i="2"/>
  <c r="N23" i="2"/>
  <c r="F30" i="17"/>
  <c r="F14" i="7"/>
  <c r="BK21" i="11"/>
  <c r="V13" i="11"/>
  <c r="AP22" i="20"/>
  <c r="BL25" i="11"/>
  <c r="BM20" i="11"/>
  <c r="BU28" i="17"/>
  <c r="BW9" i="20"/>
  <c r="BV17" i="16"/>
  <c r="BV25" i="16"/>
  <c r="BW11" i="20"/>
  <c r="S21" i="17"/>
  <c r="BU19" i="17"/>
  <c r="BW28" i="20"/>
  <c r="BW10" i="20"/>
  <c r="BU13" i="17"/>
  <c r="BV22" i="16"/>
  <c r="BW21" i="20"/>
  <c r="BU12" i="17"/>
  <c r="BV9" i="16"/>
  <c r="T14" i="16"/>
  <c r="AA29" i="16"/>
  <c r="S25" i="17"/>
  <c r="AA18" i="16"/>
  <c r="AZ20" i="11"/>
  <c r="AZ12" i="11"/>
  <c r="S11" i="14"/>
  <c r="V11" i="14" s="1"/>
  <c r="AZ11" i="11"/>
  <c r="BG12" i="11"/>
  <c r="Q18" i="17"/>
  <c r="BI20" i="11"/>
  <c r="BH10" i="11"/>
  <c r="BI9" i="11"/>
  <c r="AQ10" i="21"/>
  <c r="BL28" i="11"/>
  <c r="AO29" i="17"/>
  <c r="BL10" i="11"/>
  <c r="S10" i="17"/>
  <c r="BH10" i="16"/>
  <c r="BI29" i="11"/>
  <c r="BH11" i="11"/>
  <c r="BG17" i="11"/>
  <c r="S18" i="17"/>
  <c r="BM21" i="11"/>
  <c r="BM9" i="11"/>
  <c r="AO25" i="17"/>
  <c r="BH12" i="16"/>
  <c r="BJ17" i="11"/>
  <c r="BK22" i="11"/>
  <c r="BL17" i="11"/>
  <c r="T14" i="20"/>
  <c r="BH22" i="11"/>
  <c r="BF25" i="8"/>
  <c r="BG16" i="8"/>
  <c r="L28" i="2"/>
  <c r="X21" i="20"/>
  <c r="C30" i="7"/>
  <c r="S16" i="17"/>
  <c r="S17" i="17"/>
  <c r="L12" i="2"/>
  <c r="L25" i="2"/>
  <c r="L13" i="2"/>
  <c r="X10" i="21"/>
  <c r="AO14" i="21"/>
  <c r="L19" i="2"/>
  <c r="U9" i="17"/>
  <c r="U31" i="17" s="1"/>
  <c r="L9" i="2"/>
  <c r="AP14" i="16"/>
  <c r="V25" i="16"/>
  <c r="X13" i="16"/>
  <c r="T23" i="17"/>
  <c r="T26" i="17" s="1"/>
  <c r="T30" i="17" s="1"/>
  <c r="BG16" i="13"/>
  <c r="BE16" i="13"/>
  <c r="G30" i="14"/>
  <c r="G23" i="14"/>
  <c r="X32" i="20"/>
  <c r="AA31" i="8" l="1"/>
  <c r="AY14" i="8"/>
  <c r="M14" i="2"/>
  <c r="N14" i="2"/>
  <c r="K23" i="2"/>
  <c r="K30" i="2"/>
  <c r="H21" i="2"/>
  <c r="V9" i="16"/>
  <c r="AA9" i="16"/>
  <c r="L21" i="2"/>
  <c r="AA11" i="16"/>
  <c r="L20" i="2"/>
  <c r="L18" i="2"/>
  <c r="X19" i="16"/>
  <c r="L17" i="2"/>
  <c r="L16" i="2"/>
  <c r="L29" i="2"/>
  <c r="L22" i="2"/>
  <c r="BF9" i="8"/>
  <c r="BI21" i="11"/>
  <c r="BK10" i="11"/>
  <c r="BH25" i="11"/>
  <c r="BI22" i="11"/>
  <c r="AQ12" i="21"/>
  <c r="BL22" i="11"/>
  <c r="BH17" i="11"/>
  <c r="BF16" i="11"/>
  <c r="BM18" i="11"/>
  <c r="Q16" i="17"/>
  <c r="BK17" i="11"/>
  <c r="BJ10" i="11"/>
  <c r="AZ25" i="11"/>
  <c r="AZ30" i="11" s="1"/>
  <c r="BK20" i="11"/>
  <c r="BH21" i="11"/>
  <c r="BH25" i="16"/>
  <c r="BL16" i="11"/>
  <c r="BF12" i="11"/>
  <c r="BL20" i="11"/>
  <c r="P16" i="17"/>
  <c r="S16" i="16"/>
  <c r="T17" i="11"/>
  <c r="BF20" i="11"/>
  <c r="X16" i="17"/>
  <c r="AZ17" i="11"/>
  <c r="R28" i="14"/>
  <c r="AA20" i="16"/>
  <c r="AZ22" i="11"/>
  <c r="BV20" i="16"/>
  <c r="BU17" i="17"/>
  <c r="S11" i="17"/>
  <c r="BV29" i="16"/>
  <c r="BU18" i="17"/>
  <c r="BW22" i="20"/>
  <c r="BV10" i="16"/>
  <c r="BW29" i="20"/>
  <c r="BU9" i="17"/>
  <c r="X21" i="16"/>
  <c r="BW17" i="20"/>
  <c r="BU21" i="17"/>
  <c r="BU11" i="17"/>
  <c r="BJ28" i="11"/>
  <c r="AZ9" i="11"/>
  <c r="AZ14" i="11" s="1"/>
  <c r="AZ13" i="11"/>
  <c r="BI19" i="11"/>
  <c r="BI25" i="11"/>
  <c r="BG22" i="11"/>
  <c r="Q18" i="20"/>
  <c r="Q23" i="20" s="1"/>
  <c r="V16" i="11"/>
  <c r="AS14" i="8"/>
  <c r="H13" i="10"/>
  <c r="BF17" i="8"/>
  <c r="B16" i="6"/>
  <c r="BD16" i="13"/>
  <c r="BE17" i="13"/>
  <c r="BD17" i="13"/>
  <c r="BG11" i="13"/>
  <c r="BD12" i="8"/>
  <c r="U10" i="17"/>
  <c r="BU20" i="17"/>
  <c r="BW16" i="20"/>
  <c r="BV11" i="16"/>
  <c r="BU29" i="17"/>
  <c r="BV21" i="16"/>
  <c r="BW13" i="20"/>
  <c r="BV13" i="16"/>
  <c r="BV28" i="16"/>
  <c r="BU25" i="17"/>
  <c r="BG21" i="11"/>
  <c r="AP18" i="20"/>
  <c r="AP26" i="21"/>
  <c r="BG19" i="11"/>
  <c r="V20" i="11"/>
  <c r="AP16" i="20"/>
  <c r="BJ16" i="11"/>
  <c r="V9" i="11"/>
  <c r="BM12" i="11"/>
  <c r="V11" i="11"/>
  <c r="BK29" i="11"/>
  <c r="BG20" i="11"/>
  <c r="BF28" i="11"/>
  <c r="BH16" i="16"/>
  <c r="BF13" i="11"/>
  <c r="BH9" i="16"/>
  <c r="BV16" i="16"/>
  <c r="BU22" i="17"/>
  <c r="BW12" i="20"/>
  <c r="BW25" i="20"/>
  <c r="BV12" i="16"/>
  <c r="BU10" i="17"/>
  <c r="BW18" i="20"/>
  <c r="X20" i="16"/>
  <c r="BV18" i="16"/>
  <c r="BW19" i="20"/>
  <c r="BV19" i="16"/>
  <c r="BU16" i="17"/>
  <c r="BW20" i="20"/>
  <c r="AZ16" i="11"/>
  <c r="AZ23" i="11" s="1"/>
  <c r="AZ26" i="11" s="1"/>
  <c r="T16" i="16"/>
  <c r="BJ25" i="11"/>
  <c r="BL29" i="11"/>
  <c r="AO28" i="17"/>
  <c r="T18" i="16"/>
  <c r="BM16" i="11"/>
  <c r="BH18" i="11"/>
  <c r="BL13" i="11"/>
  <c r="BH13" i="11"/>
  <c r="BG16" i="11"/>
  <c r="BJ20" i="11"/>
  <c r="R10" i="21"/>
  <c r="R14" i="21" s="1"/>
  <c r="R31" i="21" s="1"/>
  <c r="BH22" i="16"/>
  <c r="BJ11" i="11"/>
  <c r="BH20" i="16"/>
  <c r="AP21" i="20"/>
  <c r="AP10" i="21"/>
  <c r="AZ18" i="11"/>
  <c r="BK11" i="1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S12" i="14"/>
  <c r="V12" i="14" s="1"/>
  <c r="S19" i="14"/>
  <c r="V19" i="14" s="1"/>
  <c r="S17" i="14"/>
  <c r="V17" i="14" s="1"/>
  <c r="S29" i="14"/>
  <c r="V29" i="14"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Q9" i="11" s="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BE9" i="8"/>
  <c r="I9" i="7" s="1"/>
  <c r="BG12" i="8"/>
  <c r="K12" i="7" s="1"/>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BK14" i="11"/>
  <c r="Y29" i="11"/>
  <c r="N21" i="11"/>
  <c r="AA26" i="11"/>
  <c r="H30" i="3"/>
  <c r="G28" i="3"/>
  <c r="I25" i="3"/>
  <c r="E25" i="3"/>
  <c r="BI20" i="16"/>
  <c r="H12" i="7"/>
  <c r="AM19" i="11"/>
  <c r="C30" i="2"/>
  <c r="D30" i="2" s="1"/>
  <c r="AL18" i="11"/>
  <c r="AO21" i="17"/>
  <c r="BI18" i="16"/>
  <c r="B29" i="6"/>
  <c r="AN9" i="11"/>
  <c r="K9" i="7"/>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K10" i="7" s="1"/>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P25" i="11" s="1"/>
  <c r="F12" i="11"/>
  <c r="AQ12" i="11" s="1"/>
  <c r="AQ10" i="11"/>
  <c r="X30" i="11"/>
  <c r="AC18" i="11"/>
  <c r="AC22" i="11"/>
  <c r="J14" i="11"/>
  <c r="K23" i="11"/>
  <c r="K26" i="11" s="1"/>
  <c r="E13" i="3"/>
  <c r="G13" i="3"/>
  <c r="G11" i="3"/>
  <c r="K25" i="7"/>
  <c r="E9" i="6"/>
  <c r="K9" i="12" s="1"/>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H16"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Z32" i="20"/>
  <c r="T32" i="20"/>
  <c r="AM32" i="20"/>
  <c r="Q32" i="20"/>
  <c r="W32" i="21"/>
  <c r="E32" i="20"/>
  <c r="AV32" i="20"/>
  <c r="O32" i="20"/>
  <c r="AQ32" i="21"/>
  <c r="Y32" i="20"/>
  <c r="L32" i="20"/>
  <c r="AJ32" i="20"/>
  <c r="AH32" i="20"/>
  <c r="I32" i="20"/>
  <c r="O18" i="11"/>
  <c r="AB32" i="20"/>
  <c r="AI32" i="20"/>
  <c r="S32" i="20"/>
  <c r="R32" i="20"/>
  <c r="N32" i="20"/>
  <c r="AA32" i="20"/>
  <c r="G14" i="14"/>
  <c r="AC32" i="20"/>
  <c r="AN32" i="20"/>
  <c r="BF23" i="13" l="1"/>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P12" i="11" s="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AN30" i="17" s="1"/>
  <c r="AN33" i="17" s="1"/>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K32" i="20"/>
  <c r="AW32" i="11"/>
  <c r="AV32" i="21"/>
  <c r="O12" i="11"/>
  <c r="H32" i="17"/>
  <c r="Q12" i="11" l="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I32" i="11"/>
  <c r="F32" i="17"/>
  <c r="AR32" i="11"/>
  <c r="AH32" i="2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BM31" i="11" s="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F31" i="2"/>
  <c r="BC31" i="8"/>
  <c r="K9" i="14"/>
  <c r="C23" i="14"/>
  <c r="K19" i="14"/>
  <c r="Y31" i="14"/>
  <c r="AB31" i="14"/>
  <c r="R31" i="14"/>
  <c r="AC31" i="14"/>
  <c r="V31" i="14"/>
  <c r="X31" i="14"/>
  <c r="S31" i="14"/>
  <c r="M31" i="14"/>
  <c r="Z31" i="14"/>
  <c r="W31" i="14"/>
  <c r="AD31" i="14"/>
  <c r="V23" i="11"/>
  <c r="U26" i="11"/>
  <c r="AA31" i="14"/>
  <c r="H31" i="14"/>
  <c r="AV32" i="16"/>
  <c r="AJ32" i="21"/>
  <c r="F33" i="11" l="1"/>
  <c r="AO33"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<sst xmlns="http://schemas.openxmlformats.org/spreadsheetml/2006/main" count="2682" uniqueCount="1193">
  <si>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</si>
  <si>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</si>
  <si>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</si>
  <si>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</si>
  <si>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</si>
  <si>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</si>
  <si>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</si>
  <si>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</si>
  <si>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</si>
  <si>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</si>
  <si>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</si>
  <si>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</si>
  <si>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</si>
  <si>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</si>
  <si>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</si>
  <si>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</si>
  <si>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</si>
  <si>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</si>
  <si>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</si>
  <si>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</si>
  <si>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</si>
  <si>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</si>
  <si>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</si>
  <si>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</si>
  <si>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</si>
  <si>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</si>
  <si>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</si>
  <si>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</si>
  <si>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</si>
  <si>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</si>
  <si>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</si>
  <si>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</si>
  <si>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</si>
  <si>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</si>
  <si>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</si>
  <si>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</si>
  <si>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</si>
  <si>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</si>
  <si>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</si>
  <si>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</si>
  <si>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</si>
  <si>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</si>
  <si>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</si>
  <si>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</si>
  <si>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</si>
  <si>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</si>
  <si>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</si>
  <si>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</si>
  <si>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</si>
  <si>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</si>
  <si>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</si>
  <si>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</si>
  <si>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</si>
  <si>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</si>
  <si>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</si>
  <si>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</si>
  <si>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</si>
  <si>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</si>
  <si>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</si>
  <si>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</si>
  <si>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</si>
  <si>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</si>
  <si>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</si>
  <si>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</si>
  <si>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</si>
  <si>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</si>
  <si>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</si>
  <si>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</si>
  <si>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</si>
  <si>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</si>
  <si>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</si>
  <si>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</si>
  <si>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</si>
  <si>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</si>
  <si>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</si>
  <si>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</si>
  <si>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</si>
  <si>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</si>
  <si>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</si>
  <si>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</si>
  <si>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</si>
  <si>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</si>
  <si>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</si>
  <si>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</si>
  <si>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</si>
  <si>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</si>
  <si>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</si>
  <si>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</si>
  <si>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</si>
  <si>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</si>
  <si>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</si>
  <si>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</si>
  <si>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</si>
  <si>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</si>
  <si>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</si>
  <si>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</si>
  <si>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</si>
  <si>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</si>
  <si>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</si>
  <si>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</si>
  <si>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</si>
  <si>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</si>
  <si>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</si>
  <si>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</si>
  <si>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</si>
  <si>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</si>
  <si>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</si>
  <si>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</si>
  <si>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</si>
  <si>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</si>
  <si>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</si>
  <si>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</si>
  <si>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</si>
  <si>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</si>
  <si>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</si>
  <si>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</si>
  <si>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</si>
  <si>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</si>
  <si>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</si>
  <si>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</si>
  <si>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</si>
  <si>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</si>
  <si>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</si>
  <si>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</si>
  <si>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</si>
  <si>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</si>
  <si>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</si>
  <si>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</si>
  <si>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</si>
  <si>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</si>
  <si>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</si>
  <si>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</si>
  <si>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</si>
  <si>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</si>
  <si>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</si>
  <si>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</si>
  <si>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</si>
  <si>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</si>
  <si>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</si>
  <si>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</si>
  <si>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</si>
  <si>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</si>
  <si>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</si>
  <si>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</si>
  <si>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</si>
  <si>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</si>
  <si>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</si>
  <si>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</si>
  <si>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</si>
  <si>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</si>
  <si>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</si>
  <si>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</si>
  <si>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</si>
  <si>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</si>
  <si>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</si>
  <si>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</si>
  <si>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</si>
  <si>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</si>
  <si>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</si>
  <si>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</si>
  <si>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</si>
  <si>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</si>
  <si>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</si>
  <si>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</si>
  <si>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</si>
  <si>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</si>
  <si>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</si>
  <si>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</si>
  <si>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</si>
  <si>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</si>
  <si>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</si>
  <si>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</si>
  <si>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</si>
  <si>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</si>
  <si>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</si>
  <si>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</si>
  <si>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</si>
  <si>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</si>
  <si>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</si>
  <si>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</si>
  <si>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</si>
  <si>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</si>
  <si>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</si>
  <si>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</si>
  <si>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</si>
  <si>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</si>
  <si>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</si>
  <si>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</si>
  <si>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</si>
  <si>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</si>
  <si>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</si>
  <si>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</si>
  <si>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</si>
  <si>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</si>
  <si>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</si>
  <si>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</si>
  <si>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</si>
  <si>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</si>
  <si>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</si>
  <si>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</si>
  <si>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</si>
  <si>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</si>
  <si>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</si>
  <si>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</si>
  <si>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</si>
  <si>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</si>
  <si>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</si>
  <si>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</si>
  <si>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</si>
  <si>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</si>
  <si>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</si>
  <si>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</si>
  <si>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</si>
  <si>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</si>
  <si>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</si>
  <si>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</si>
  <si>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</si>
  <si>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</si>
  <si>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</si>
  <si>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</si>
  <si>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</si>
  <si>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</si>
  <si>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</si>
  <si>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</si>
  <si>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</si>
  <si>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</si>
  <si>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</si>
  <si>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</si>
  <si>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</si>
  <si>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</si>
  <si>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</si>
  <si>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</si>
  <si>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</si>
  <si>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</si>
  <si>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</si>
  <si>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</si>
  <si>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</si>
  <si>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</si>
  <si>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</si>
  <si>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</si>
  <si>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</si>
  <si>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</si>
  <si>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</si>
  <si>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</si>
  <si>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</si>
  <si>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</si>
  <si>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</si>
  <si>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</si>
  <si>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</si>
  <si>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</si>
  <si>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</si>
  <si>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</si>
  <si>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</si>
  <si>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</si>
  <si>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</si>
  <si>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</si>
  <si>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</si>
  <si>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</si>
  <si>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</si>
  <si>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</si>
  <si>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</si>
  <si>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</si>
  <si>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</si>
  <si>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</si>
  <si>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</si>
  <si>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</si>
  <si>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</si>
  <si>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</si>
  <si>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</si>
  <si>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</si>
  <si>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</si>
  <si>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</si>
  <si>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</si>
  <si>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</si>
  <si>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</si>
  <si>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</si>
  <si>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</si>
  <si>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</si>
  <si>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</si>
  <si>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</si>
  <si>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</si>
  <si>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</si>
  <si>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</si>
  <si>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</si>
  <si>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</si>
  <si>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</si>
  <si>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</si>
  <si>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</si>
  <si>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</si>
  <si>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</si>
  <si>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</si>
  <si>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</si>
  <si>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</si>
  <si>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</si>
  <si>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</si>
  <si>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</si>
  <si>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</si>
  <si>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</si>
  <si>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</si>
  <si>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</si>
  <si>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</si>
  <si>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</si>
  <si>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</si>
  <si>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</si>
  <si>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</si>
  <si>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</si>
  <si>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</si>
  <si>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</si>
  <si>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</si>
  <si>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</si>
  <si>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</si>
  <si>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</si>
  <si>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</si>
  <si>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</si>
  <si>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</si>
  <si>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</si>
  <si>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</si>
  <si>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</si>
  <si>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</si>
  <si>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</si>
  <si>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</si>
  <si>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</si>
  <si>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</si>
  <si>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</si>
  <si>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</si>
  <si>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</si>
  <si>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</si>
  <si>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</si>
  <si>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</si>
  <si>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</si>
  <si>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</si>
  <si>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</si>
  <si>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</si>
  <si>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</si>
  <si>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</si>
  <si>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</si>
  <si>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</si>
  <si>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</si>
  <si>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</si>
  <si>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</si>
  <si>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</si>
  <si>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</si>
  <si>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</si>
  <si>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</si>
  <si>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</si>
  <si>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</si>
  <si>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</si>
  <si>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</si>
  <si>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</si>
  <si>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</si>
  <si>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</si>
  <si>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</si>
  <si>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</si>
  <si>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</si>
  <si>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</si>
  <si>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</si>
  <si>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</si>
  <si>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</si>
  <si>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</si>
  <si>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</si>
  <si>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</si>
  <si>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</si>
  <si>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</si>
  <si>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</si>
  <si>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</si>
  <si>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</si>
  <si>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</si>
  <si>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</si>
  <si>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</si>
  <si>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</si>
  <si>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</si>
  <si>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</si>
  <si>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</si>
  <si>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</si>
  <si>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</si>
  <si>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</si>
  <si>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</si>
  <si>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</si>
  <si>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</si>
  <si>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</si>
  <si>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</si>
  <si>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</si>
  <si>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</si>
  <si>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</si>
  <si>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</si>
  <si>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</si>
  <si>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</si>
  <si>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</si>
  <si>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</si>
  <si>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</si>
  <si>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</si>
  <si>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</si>
  <si>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</si>
  <si>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</si>
  <si>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</si>
  <si>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</si>
  <si>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</si>
  <si>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</si>
  <si>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</si>
  <si>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</si>
  <si>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</si>
  <si>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</si>
  <si>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</si>
  <si>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</si>
  <si>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</si>
  <si>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</si>
  <si>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</si>
  <si>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</si>
  <si>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</si>
  <si>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</si>
  <si>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</si>
  <si>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</si>
  <si>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</si>
  <si>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</si>
  <si>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</si>
  <si>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</si>
  <si>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</si>
  <si>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</si>
  <si>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</si>
  <si>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</si>
  <si>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</si>
  <si>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</si>
  <si>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</si>
  <si>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</si>
  <si>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</si>
  <si>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</si>
  <si>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</si>
  <si>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</si>
  <si>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</si>
  <si>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</si>
  <si>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</si>
  <si>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</si>
  <si>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</si>
  <si>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</si>
  <si>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</si>
  <si>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</si>
  <si>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</si>
  <si>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</si>
  <si>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</si>
  <si>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</si>
  <si>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</si>
  <si>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</si>
  <si>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</si>
  <si>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</si>
  <si>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</si>
  <si>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</si>
  <si>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</si>
  <si>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</si>
  <si>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</si>
  <si>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</si>
  <si>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</si>
  <si>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</si>
  <si>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</si>
  <si>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</si>
  <si>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</si>
  <si>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</si>
  <si>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</si>
  <si>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</si>
  <si>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</si>
  <si>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</si>
  <si>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</si>
  <si>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</si>
  <si>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</si>
  <si>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</si>
  <si>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</si>
  <si>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</si>
  <si>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</si>
  <si>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</si>
  <si>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</si>
  <si>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</si>
  <si>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</si>
  <si>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</si>
  <si>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</si>
  <si>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</si>
  <si>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</si>
  <si>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</si>
  <si>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</si>
  <si>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</si>
  <si>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</si>
  <si>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</si>
  <si>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</si>
  <si>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</si>
  <si>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</si>
  <si>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</si>
  <si>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</si>
  <si>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</si>
  <si>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</si>
  <si>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</si>
  <si>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</si>
  <si>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</si>
  <si>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</si>
  <si>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</si>
  <si>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</si>
  <si>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</si>
  <si>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</si>
  <si>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</si>
  <si>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</si>
  <si>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</si>
  <si>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</si>
  <si>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</si>
  <si>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</si>
  <si>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</si>
  <si>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</si>
  <si>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</si>
  <si>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</si>
  <si>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</si>
  <si>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</si>
  <si>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</si>
  <si>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</si>
  <si>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</si>
  <si>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</si>
  <si>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</si>
  <si>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</si>
  <si>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</si>
  <si>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</si>
  <si>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</si>
  <si>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</si>
  <si>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</si>
  <si>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</si>
  <si>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</si>
  <si>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</si>
  <si>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</si>
  <si>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</si>
  <si>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</si>
  <si>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</si>
  <si>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</si>
  <si>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</si>
  <si>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</si>
  <si>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</si>
  <si>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</si>
  <si>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</si>
  <si>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</si>
  <si>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</si>
  <si>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</si>
  <si>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</si>
  <si>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</si>
  <si>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</si>
  <si>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</si>
  <si>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</si>
  <si>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</si>
  <si>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</si>
  <si>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</si>
  <si>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</si>
  <si>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</si>
  <si>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</si>
  <si>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</si>
  <si>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</si>
  <si>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</si>
  <si>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</si>
  <si>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</si>
  <si>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</si>
  <si>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</si>
  <si>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</si>
  <si>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</si>
  <si>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</si>
  <si>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</si>
  <si>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</si>
  <si>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</si>
  <si>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</si>
  <si>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</si>
  <si>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</si>
  <si>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</si>
  <si>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</si>
  <si>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</si>
  <si>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</si>
  <si>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</si>
  <si>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</si>
  <si>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</si>
  <si>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</si>
  <si>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</si>
  <si>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</si>
  <si>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</si>
  <si>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</si>
  <si>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</si>
  <si>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</si>
  <si>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</si>
  <si>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</si>
  <si>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</si>
  <si>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</si>
  <si>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</si>
  <si>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</si>
  <si>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</si>
  <si>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</si>
  <si>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</si>
  <si>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</si>
  <si>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</si>
  <si>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</si>
  <si>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</si>
  <si>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</si>
  <si>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</si>
  <si>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</si>
  <si>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</si>
  <si>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</si>
  <si>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</si>
  <si>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</si>
  <si>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</si>
  <si>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</si>
  <si>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</si>
  <si>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</si>
  <si>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</si>
  <si>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</si>
  <si>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</si>
  <si>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</si>
  <si>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</si>
  <si>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</si>
  <si>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</si>
  <si>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</si>
  <si>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</si>
  <si>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</si>
  <si>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</si>
  <si>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</si>
  <si>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</si>
  <si>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</si>
  <si>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</si>
  <si>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</si>
  <si>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</si>
  <si>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</si>
  <si>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</si>
  <si>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</si>
  <si>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</si>
  <si>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</si>
  <si>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</si>
  <si>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</si>
  <si>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</si>
  <si>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</si>
  <si>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</si>
  <si>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</si>
  <si>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</si>
  <si>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</si>
  <si>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</si>
  <si>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</si>
  <si>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</si>
  <si>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</si>
  <si>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</si>
  <si>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</si>
  <si>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</si>
  <si>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</si>
  <si>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</si>
  <si>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</si>
  <si>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</si>
  <si>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</si>
  <si>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</si>
  <si>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</si>
  <si>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</si>
  <si>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</si>
  <si>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</si>
  <si>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</si>
  <si>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</si>
  <si>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</si>
  <si>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</si>
  <si>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</si>
  <si>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</si>
  <si>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</si>
  <si>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</si>
  <si>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</si>
  <si>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</si>
  <si>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</si>
  <si>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</si>
  <si>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</si>
  <si>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</si>
  <si>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</si>
  <si>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</si>
  <si>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</si>
  <si>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</si>
  <si>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</si>
  <si>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</si>
  <si>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</si>
  <si>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</si>
  <si>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</si>
  <si>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</si>
  <si>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</si>
  <si>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</si>
  <si>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</si>
  <si>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</si>
  <si>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</si>
  <si>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</si>
  <si>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</si>
  <si>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</si>
  <si>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</si>
  <si>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</si>
  <si>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</si>
  <si>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</si>
  <si>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</si>
  <si>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</si>
  <si>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</si>
  <si>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</si>
  <si>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</si>
  <si>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</si>
  <si>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</si>
  <si>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</si>
  <si>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</si>
  <si>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</si>
  <si>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</si>
  <si>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</si>
  <si>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</si>
  <si>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</si>
  <si>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</si>
  <si>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</si>
  <si>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</si>
  <si>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</si>
  <si>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</si>
  <si>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</si>
  <si>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</si>
  <si>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</si>
  <si>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</si>
  <si>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</si>
  <si>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</si>
  <si>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</si>
  <si>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</si>
  <si>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</si>
  <si>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</si>
  <si>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</si>
  <si>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</si>
  <si>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</si>
  <si>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</si>
  <si>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</si>
  <si>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</si>
  <si>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</si>
  <si>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</si>
  <si>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</si>
  <si>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</si>
  <si>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</si>
  <si>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</si>
  <si>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</si>
  <si>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</si>
  <si>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</si>
  <si>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</si>
  <si>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</si>
  <si>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</si>
  <si>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</si>
  <si>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</si>
  <si>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</si>
  <si>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</si>
  <si>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</si>
  <si>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</si>
  <si>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</si>
  <si>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</si>
  <si>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</si>
  <si>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</si>
  <si>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</si>
  <si>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</si>
  <si>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</si>
  <si>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</si>
  <si>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</si>
  <si>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</si>
  <si>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</si>
  <si>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</si>
  <si>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</si>
  <si>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</si>
  <si>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</si>
  <si>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</si>
  <si>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</si>
  <si>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</si>
  <si>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</si>
  <si>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</si>
  <si>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</si>
  <si>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</si>
  <si>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</si>
  <si>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</si>
  <si>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</si>
  <si>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</si>
  <si>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</si>
  <si>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</si>
  <si>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</si>
  <si>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</si>
  <si>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</si>
  <si>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</si>
  <si>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</si>
  <si>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</si>
  <si>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</si>
  <si>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</si>
  <si>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</si>
  <si>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</si>
  <si>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</si>
  <si>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</si>
  <si>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</si>
  <si>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</si>
  <si>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</si>
  <si>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</si>
  <si>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</si>
  <si>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</si>
  <si>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</si>
  <si>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</si>
  <si>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</si>
  <si>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</si>
  <si>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</si>
  <si>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</si>
  <si>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</si>
  <si>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</si>
  <si>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</si>
  <si>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</si>
  <si>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</si>
  <si>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</si>
  <si>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</si>
  <si>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</si>
  <si>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</si>
  <si>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</si>
  <si>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</si>
  <si>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</si>
  <si>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</si>
  <si>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</si>
  <si>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</si>
  <si>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</si>
  <si>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</si>
  <si>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</si>
  <si>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</si>
  <si>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</si>
  <si>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</si>
  <si>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</si>
  <si>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</si>
  <si>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</si>
  <si>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</si>
  <si>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</si>
  <si>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</si>
  <si>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</si>
  <si>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</si>
  <si>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</si>
  <si>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</si>
  <si>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</si>
  <si>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</si>
  <si>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</si>
  <si>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</si>
  <si>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</si>
  <si>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</si>
  <si>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</si>
  <si>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</si>
  <si>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</si>
  <si>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</si>
  <si>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</si>
  <si>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</si>
  <si>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</si>
  <si>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</si>
  <si>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</si>
  <si>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</si>
  <si>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</si>
  <si>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</si>
  <si>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</si>
  <si>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</si>
  <si>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</si>
  <si>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</si>
  <si>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</si>
  <si>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</si>
  <si>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</si>
  <si>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</si>
  <si>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</si>
  <si>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</si>
  <si>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</si>
  <si>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</si>
  <si>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</si>
  <si>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</si>
  <si>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</si>
  <si>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</si>
  <si>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</si>
  <si>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</si>
  <si>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</si>
  <si>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</si>
  <si>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</si>
  <si>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</si>
  <si>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</si>
  <si>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</si>
  <si>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</si>
  <si>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</si>
  <si>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</si>
  <si>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</si>
  <si>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</si>
  <si>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</si>
  <si>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</si>
  <si>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</si>
  <si>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</si>
  <si>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</si>
  <si>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</si>
  <si>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</si>
  <si>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</si>
  <si>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</si>
  <si>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</si>
  <si>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</si>
  <si>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</si>
  <si>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</si>
  <si>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</si>
  <si>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</si>
  <si>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</si>
  <si>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</si>
  <si>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</si>
  <si>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</si>
  <si>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</si>
  <si>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</si>
  <si>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</si>
  <si>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</si>
  <si>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</si>
  <si>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</si>
  <si>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</si>
  <si>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</si>
  <si>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</si>
  <si>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</si>
  <si>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</si>
  <si>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</si>
  <si>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</si>
  <si>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</si>
  <si>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</si>
  <si>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</si>
  <si>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</si>
  <si>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</si>
  <si>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</si>
  <si>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</si>
  <si>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</si>
  <si>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</si>
  <si>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</si>
  <si>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</si>
  <si>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</si>
  <si>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</si>
  <si>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</si>
  <si>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</si>
  <si>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</si>
  <si>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</si>
  <si>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</si>
  <si>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</si>
  <si>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</si>
  <si>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</si>
  <si>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</si>
  <si>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</si>
  <si>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</si>
  <si>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</si>
  <si>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</si>
  <si>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</si>
  <si>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</si>
  <si>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</si>
  <si>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</si>
  <si>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</si>
  <si>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</si>
  <si>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</si>
  <si>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</si>
  <si>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</si>
  <si>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</si>
  <si>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</si>
  <si>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</si>
  <si>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</si>
  <si>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</si>
  <si>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</si>
  <si>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</si>
  <si>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</si>
  <si>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</si>
  <si>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</si>
  <si>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</si>
  <si>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</si>
  <si>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</si>
  <si>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</si>
  <si>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</si>
  <si>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</si>
  <si>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</si>
  <si>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</si>
  <si>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</si>
  <si>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</si>
  <si>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</si>
  <si>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</si>
  <si>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</si>
  <si>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</si>
  <si>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</si>
  <si>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</si>
  <si>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</si>
  <si>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</si>
  <si>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</si>
  <si>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</si>
  <si>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</si>
  <si>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</si>
  <si>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</si>
  <si>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</si>
  <si>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</si>
  <si>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</si>
  <si>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</si>
  <si>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</si>
  <si>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</si>
  <si>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</si>
  <si>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</si>
  <si>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</si>
  <si>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</si>
  <si>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</si>
  <si>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</si>
  <si>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</si>
  <si>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</si>
  <si>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</si>
  <si>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</si>
  <si>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</si>
  <si>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</si>
  <si>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</si>
  <si>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</si>
  <si>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</si>
  <si>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</si>
  <si>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</si>
  <si>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</si>
  <si>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</si>
  <si>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</si>
  <si>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</si>
  <si>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</si>
  <si>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</si>
  <si>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</si>
  <si>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</si>
  <si>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</si>
  <si>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</si>
  <si>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</si>
  <si>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</si>
  <si>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</si>
  <si>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</si>
  <si>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</si>
  <si>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</si>
  <si>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</si>
  <si>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</si>
  <si>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</si>
  <si>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</si>
  <si>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</si>
  <si>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</si>
  <si>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</si>
  <si>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</si>
  <si>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</si>
  <si>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</si>
  <si>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</si>
  <si>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</si>
  <si>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</si>
  <si>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</si>
  <si>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</si>
  <si>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</si>
  <si>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</si>
  <si>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</si>
  <si>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</si>
  <si>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</si>
  <si>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</si>
  <si>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</si>
  <si>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</si>
  <si>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</si>
  <si>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</si>
  <si>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</si>
  <si>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</si>
  <si>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</si>
  <si>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</si>
  <si>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</si>
  <si>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</si>
  <si>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</si>
  <si>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</si>
  <si>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</si>
  <si>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</si>
  <si>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</si>
  <si>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</si>
  <si>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</si>
  <si>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</si>
  <si>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</si>
  <si>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</si>
  <si>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</si>
  <si>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</si>
  <si>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</si>
  <si>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</si>
  <si>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</si>
  <si>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</si>
  <si>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</si>
  <si>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</si>
  <si>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</si>
  <si>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</si>
  <si>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</si>
  <si>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</si>
  <si>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</si>
  <si>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</si>
  <si>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</si>
  <si>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</si>
  <si>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</si>
  <si>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</si>
  <si>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</si>
  <si>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</si>
  <si>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</si>
  <si>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</si>
  <si>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</si>
  <si>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</si>
  <si>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</si>
  <si>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</si>
  <si>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</si>
  <si>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</si>
  <si>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</si>
  <si>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</si>
  <si>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</si>
  <si>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</si>
  <si>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</si>
  <si>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</si>
  <si>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</si>
  <si>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</si>
  <si>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</si>
  <si>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</si>
  <si>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</si>
  <si>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</si>
  <si>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</si>
  <si>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</si>
  <si>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</si>
  <si>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</si>
  <si>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</si>
  <si>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</si>
  <si>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</si>
  <si>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</si>
  <si>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</si>
  <si>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</si>
  <si>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</si>
  <si>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</si>
  <si>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</si>
  <si>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</si>
  <si>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</si>
  <si>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</si>
  <si>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</si>
  <si>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</si>
  <si>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</si>
  <si>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</si>
  <si>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</si>
  <si>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</si>
  <si>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</si>
  <si>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</si>
  <si>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</si>
  <si>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</si>
  <si>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</si>
  <si>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</si>
  <si>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</si>
  <si>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</si>
  <si>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</si>
  <si>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</si>
  <si>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</si>
  <si>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</si>
  <si>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</si>
  <si>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</si>
  <si>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</si>
  <si>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</si>
  <si>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</si>
  <si>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</si>
  <si>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</si>
  <si>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</si>
  <si>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</si>
  <si>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</si>
  <si>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</si>
  <si>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</si>
  <si>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</si>
  <si>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</si>
  <si>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</si>
  <si>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</si>
  <si>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</si>
  <si>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</si>
  <si>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</si>
  <si>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</si>
  <si>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</si>
  <si>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</si>
  <si>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</si>
  <si>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</si>
  <si>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</si>
  <si>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</si>
  <si>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</si>
  <si>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</si>
  <si>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</si>
  <si>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</si>
  <si>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</si>
  <si>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</si>
  <si>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</si>
  <si>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</si>
  <si>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</si>
  <si>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</si>
  <si>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</si>
  <si>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</si>
  <si>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</si>
  <si>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</si>
  <si>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</si>
  <si>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</si>
  <si>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</si>
  <si>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</si>
  <si>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</si>
  <si>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</si>
  <si>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</si>
  <si>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</si>
  <si>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</si>
  <si>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</si>
  <si>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</si>
  <si>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</si>
  <si>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</si>
  <si>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</si>
  <si>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</si>
  <si>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</si>
  <si>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</si>
  <si>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</si>
  <si>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</si>
  <si>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</si>
  <si>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</si>
  <si>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</si>
  <si>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</si>
  <si>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</si>
  <si>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</si>
  <si>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</si>
  <si>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</si>
  <si>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</si>
  <si>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</si>
  <si>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</si>
  <si>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</si>
  <si>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</si>
  <si>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</si>
  <si>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SAN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</si>
</sst>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1192</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h4/rESjt0Vk5GVVmHOJJ5G8uc9jsGTGb2O5WeumTngrrWG6/W61AchveY/b66YPdqn+fyBNb9ph4LH5h2xc+sQ==" saltValue="RxEDR6RPYcgAvtW1C2wb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SAN JAVIER</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90</v>
      </c>
      <c r="D10" s="452">
        <f>IF(ISNUMBER(C10/Datos!BH10),C10/Datos!BH10," - ")</f>
        <v>90</v>
      </c>
      <c r="E10" s="451">
        <f>IF(ISNUMBER(Datos!J10),Datos!J10," - ")</f>
        <v>65</v>
      </c>
      <c r="F10" s="452">
        <f>IF(ISNUMBER(E10/B10),E10/B10," - ")</f>
        <v>65</v>
      </c>
      <c r="G10" s="451">
        <f>IF(ISNUMBER(Datos!K10),Datos!K10," - ")</f>
        <v>52</v>
      </c>
      <c r="H10" s="452">
        <f>IF(ISNUMBER(G10/B10),G10/B10," - ")</f>
        <v>52</v>
      </c>
      <c r="I10" s="451">
        <f>IF(ISNUMBER(Datos!L10),Datos!L10," - ")</f>
        <v>103</v>
      </c>
      <c r="J10" s="452">
        <f>IF(ISNUMBER(I10/B10),I10/B10," - ")</f>
        <v>103</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7</v>
      </c>
      <c r="C12" s="451">
        <f>IF(ISNUMBER(IF(J_V="SI",Datos!I12,Datos!I12+Datos!Y12)),IF(J_V="SI",Datos!I12,Datos!I12+Datos!Y12)," - ")</f>
        <v>4178</v>
      </c>
      <c r="D12" s="452">
        <f>IF(ISNUMBER(C12/Datos!BH12),C12/Datos!BH12," - ")</f>
        <v>596.85714285714289</v>
      </c>
      <c r="E12" s="451">
        <f>IF(ISNUMBER(IF(J_V="SI",Datos!J12,Datos!J12+Datos!Z12)),IF(J_V="SI",Datos!J12,Datos!J12+Datos!Z12)," - ")</f>
        <v>5868</v>
      </c>
      <c r="F12" s="452">
        <f>IF(ISNUMBER(E12/B12),E12/B12," - ")</f>
        <v>838.28571428571433</v>
      </c>
      <c r="G12" s="451">
        <f>IF(ISNUMBER(IF(J_V="SI",Datos!K12,Datos!K12+Datos!AA12)),IF(J_V="SI",Datos!K12,Datos!K12+Datos!AA12)," - ")</f>
        <v>4942</v>
      </c>
      <c r="H12" s="452">
        <f>IF(ISNUMBER(G12/B12),G12/B12," - ")</f>
        <v>706</v>
      </c>
      <c r="I12" s="451">
        <f>IF(ISNUMBER(IF(J_V="SI",Datos!L12,Datos!L12+Datos!AB12)),IF(J_V="SI",Datos!L12,Datos!L12+Datos!AB12)," - ")</f>
        <v>4934</v>
      </c>
      <c r="J12" s="452">
        <f>IF(ISNUMBER(I12/B12),I12/B12," - ")</f>
        <v>704.85714285714289</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7</v>
      </c>
      <c r="C14" s="1146">
        <f>SUBTOTAL(9,C8:C13)</f>
        <v>4268</v>
      </c>
      <c r="D14" s="1147" t="str">
        <f>IF(ISNUMBER(C14/Datos!BI14),C14/Datos!BI14," - ")</f>
        <v xml:space="preserve"> - </v>
      </c>
      <c r="E14" s="1146">
        <f>SUBTOTAL(9,E8:E13)</f>
        <v>5933</v>
      </c>
      <c r="F14" s="1147">
        <f>IF(ISNUMBER(E14/B14),E14/B14," - ")</f>
        <v>847.57142857142856</v>
      </c>
      <c r="G14" s="1146">
        <f>SUBTOTAL(9,G8:G13)</f>
        <v>4994</v>
      </c>
      <c r="H14" s="1147">
        <f>IF(ISNUMBER(G14/B14),G14/B14," - ")</f>
        <v>713.42857142857144</v>
      </c>
      <c r="I14" s="1146">
        <f>SUBTOTAL(9,I8:I13)</f>
        <v>5037</v>
      </c>
      <c r="J14" s="1147">
        <f>IF(ISNUMBER(I14/B14),I14/B14," - ")</f>
        <v>719.57142857142856</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7</v>
      </c>
      <c r="C17" s="451">
        <f>IF(ISNUMBER(IF(D_I="SI",Datos!I17,Datos!I17+Datos!AC17)),IF(D_I="SI",Datos!I17,Datos!I17+Datos!AC17)," - ")</f>
        <v>2494</v>
      </c>
      <c r="D17" s="452">
        <f>IF(ISNUMBER(C17/Datos!BH17),C17/Datos!BH17," - ")</f>
        <v>356.28571428571428</v>
      </c>
      <c r="E17" s="451">
        <f>IF(ISNUMBER(IF(D_I="SI",Datos!J17,Datos!J17+Datos!AD17)),IF(D_I="SI",Datos!J17,Datos!J17+Datos!AD17)," - ")</f>
        <v>6024</v>
      </c>
      <c r="F17" s="452">
        <f>IF(ISNUMBER(E17/B17),E17/B17," - ")</f>
        <v>860.57142857142856</v>
      </c>
      <c r="G17" s="451">
        <f>IF(ISNUMBER(IF(D_I="SI",Datos!K17,Datos!K17+Datos!AE17)),IF(D_I="SI",Datos!K17,Datos!K17+Datos!AE17)," - ")</f>
        <v>5799</v>
      </c>
      <c r="H17" s="452">
        <f>IF(ISNUMBER(G17/B17),G17/B17," - ")</f>
        <v>828.42857142857144</v>
      </c>
      <c r="I17" s="451">
        <f>IF(ISNUMBER(IF(D_I="SI",Datos!L17,Datos!L17+Datos!AF17)),IF(D_I="SI",Datos!L17,Datos!L17+Datos!AF17)," - ")</f>
        <v>2591</v>
      </c>
      <c r="J17" s="452">
        <f>IF(ISNUMBER(I17/B17),I17/B17," - ")</f>
        <v>370.14285714285717</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214</v>
      </c>
      <c r="D18" s="452">
        <f>IF(ISNUMBER(C18/Datos!BH18),C18/Datos!BH18," - ")</f>
        <v>214</v>
      </c>
      <c r="E18" s="451">
        <f>IF(ISNUMBER(IF(D_I="SI",Datos!J18,Datos!J18+Datos!AD18)),IF(D_I="SI",Datos!J18,Datos!J18+Datos!AD18)," - ")</f>
        <v>697</v>
      </c>
      <c r="F18" s="452">
        <f>IF(ISNUMBER(E18/B18),E18/B18," - ")</f>
        <v>697</v>
      </c>
      <c r="G18" s="451">
        <f>IF(ISNUMBER(IF(D_I="SI",Datos!K18,Datos!K18+Datos!AE18)),IF(D_I="SI",Datos!K18,Datos!K18+Datos!AE18)," - ")</f>
        <v>766</v>
      </c>
      <c r="H18" s="452">
        <f>IF(ISNUMBER(G18/B18),G18/B18," - ")</f>
        <v>766</v>
      </c>
      <c r="I18" s="451">
        <f>IF(ISNUMBER(IF(D_I="SI",Datos!L18,Datos!L18+Datos!AF18)),IF(D_I="SI",Datos!L18,Datos!L18+Datos!AF18)," - ")</f>
        <v>148</v>
      </c>
      <c r="J18" s="452">
        <f>IF(ISNUMBER(I18/B18),I18/B18," - ")</f>
        <v>148</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7</v>
      </c>
      <c r="C23" s="1146">
        <f>SUBTOTAL(9,C15:C22)</f>
        <v>2708</v>
      </c>
      <c r="D23" s="1147" t="str">
        <f>IF(ISNUMBER(C23/Datos!BI23),C23/Datos!BI23," - ")</f>
        <v xml:space="preserve"> - </v>
      </c>
      <c r="E23" s="1146">
        <f>SUBTOTAL(9,E15:E22)</f>
        <v>6721</v>
      </c>
      <c r="F23" s="1147">
        <f>IF(ISNUMBER(E23/B23),E23/B23," - ")</f>
        <v>960.14285714285711</v>
      </c>
      <c r="G23" s="1146">
        <f>SUBTOTAL(9,G15:G22)</f>
        <v>6565</v>
      </c>
      <c r="H23" s="1147">
        <f>IF(ISNUMBER(G23/B23),G23/B23," - ")</f>
        <v>937.85714285714289</v>
      </c>
      <c r="I23" s="1146">
        <f>SUBTOTAL(9,I15:I22)</f>
        <v>2739</v>
      </c>
      <c r="J23" s="1147">
        <f>IF(ISNUMBER(I23/B23),I23/B23," - ")</f>
        <v>391.28571428571428</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7</v>
      </c>
      <c r="C31" s="1084">
        <f>SUBTOTAL(9,C9:C30)</f>
        <v>6976</v>
      </c>
      <c r="D31" s="1085" t="str">
        <f>IF(ISNUMBER(C31/Datos!BI31),C31/Datos!BI31," - ")</f>
        <v xml:space="preserve"> - </v>
      </c>
      <c r="E31" s="1084">
        <f>SUBTOTAL(9,E9:E30)</f>
        <v>12654</v>
      </c>
      <c r="F31" s="1085">
        <f>IF(ISNUMBER(E31/B31),E31/B31," - ")</f>
        <v>1807.7142857142858</v>
      </c>
      <c r="G31" s="1084">
        <f>SUBTOTAL(9,G9:G30)</f>
        <v>11559</v>
      </c>
      <c r="H31" s="1085">
        <f>IF(ISNUMBER(G31/B31),G31/B31," - ")</f>
        <v>1651.2857142857142</v>
      </c>
      <c r="I31" s="1084">
        <f>SUBTOTAL(9,I9:I30)</f>
        <v>7776</v>
      </c>
      <c r="J31" s="1085">
        <f>IF(ISNUMBER(I31/B31),I31/B31," - ")</f>
        <v>1110.8571428571429</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XUz8rABXN5tIPr/Vh1aJiO3CQiqp/zMtMtmctnvFpU4A/EZeTr8nZo0S6BamG4uAZbHw1yKdF0oE+Eh6eyzd3w==" saltValue="ZRNGxKHbySH9XEBI/xQyT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SAN JAVIER</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7</v>
      </c>
      <c r="D12" s="451">
        <f>Datos!BK12</f>
        <v>0</v>
      </c>
      <c r="E12" s="451">
        <f>Datos!AQ12</f>
        <v>7</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7</v>
      </c>
      <c r="D17" s="451">
        <f>Datos!BK17</f>
        <v>0</v>
      </c>
      <c r="E17" s="451">
        <f>Datos!AQ17</f>
        <v>7</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tEVrpBAcpV8URm41I4uSY4i5sKvF8R1mBM2SMBtBCdEycvpE5GnCLcwVSgoGzLVlhP9JcdaAxy7MsM5IBz5PrA==" saltValue="lujt5/3QAQSmslu/C8rFz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SAN JAVIER</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31</v>
      </c>
      <c r="E10" s="452">
        <f>IF(ISNUMBER(D10/B10),D10/B10," - ")</f>
        <v>31</v>
      </c>
      <c r="F10" s="451">
        <f>IF(ISNUMBER(Datos!N10),Datos!N10," - ")</f>
        <v>11</v>
      </c>
      <c r="G10" s="452">
        <f>IF(ISNUMBER(F10/B10),F10/B10," - ")</f>
        <v>11</v>
      </c>
      <c r="H10" s="451">
        <f>IF(ISNUMBER(Datos!O10),Datos!O10," - ")</f>
        <v>11</v>
      </c>
      <c r="I10" s="452">
        <f t="shared" ref="I10:I13" si="2">IF(ISNUMBER(H10/B10),H10/B10," - ")</f>
        <v>11</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7</v>
      </c>
      <c r="C12" s="458">
        <f>Datos!AQ12</f>
        <v>7</v>
      </c>
      <c r="D12" s="451">
        <f>IF(ISNUMBER(Datos!M12),Datos!M12," - ")</f>
        <v>1082</v>
      </c>
      <c r="E12" s="452">
        <f t="shared" si="0"/>
        <v>154.57142857142858</v>
      </c>
      <c r="F12" s="451">
        <f>IF(ISNUMBER(Datos!N12),Datos!N12," - ")</f>
        <v>1679</v>
      </c>
      <c r="G12" s="452">
        <f t="shared" si="1"/>
        <v>239.85714285714286</v>
      </c>
      <c r="H12" s="451">
        <f>IF(ISNUMBER(Datos!O12),Datos!O12," - ")</f>
        <v>2848</v>
      </c>
      <c r="I12" s="452">
        <f t="shared" si="2"/>
        <v>406.85714285714283</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8</v>
      </c>
      <c r="C14" s="1148">
        <f>Datos!AR14</f>
        <v>7</v>
      </c>
      <c r="D14" s="1146">
        <f>SUBTOTAL(9,D9:D13)</f>
        <v>1113</v>
      </c>
      <c r="E14" s="1147">
        <f t="shared" si="0"/>
        <v>139.125</v>
      </c>
      <c r="F14" s="1146">
        <f>SUBTOTAL(9,F9:F13)</f>
        <v>1690</v>
      </c>
      <c r="G14" s="1147">
        <f t="shared" si="1"/>
        <v>211.25</v>
      </c>
      <c r="H14" s="1146">
        <f>SUBTOTAL(9,H9:H13)</f>
        <v>2859</v>
      </c>
      <c r="I14" s="1147">
        <f>IF(ISNUMBER(H14/B14),H14/B14," - ")</f>
        <v>357.375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7</v>
      </c>
      <c r="C17" s="481">
        <f>Datos!AQ17</f>
        <v>7</v>
      </c>
      <c r="D17" s="451">
        <f>IF(ISNUMBER(Datos!M17),Datos!M17," - ")</f>
        <v>889</v>
      </c>
      <c r="E17" s="452">
        <f t="shared" si="3"/>
        <v>127</v>
      </c>
      <c r="F17" s="451">
        <f>IF(ISNUMBER(Datos!N17),Datos!N17," - ")</f>
        <v>3520</v>
      </c>
      <c r="G17" s="452">
        <f t="shared" si="4"/>
        <v>502.85714285714283</v>
      </c>
      <c r="H17" s="451">
        <f>IF(ISNUMBER(Datos!O17),Datos!O17," - ")</f>
        <v>62</v>
      </c>
      <c r="I17" s="452">
        <f t="shared" si="5"/>
        <v>8.8571428571428577</v>
      </c>
    </row>
    <row r="18" spans="1:9">
      <c r="A18" s="450" t="str">
        <f>Datos!A18</f>
        <v>Jdos. Violencia contra la mujer</v>
      </c>
      <c r="B18" s="480">
        <f>Datos!AO18</f>
        <v>1</v>
      </c>
      <c r="C18" s="481">
        <f>Datos!AQ18</f>
        <v>0</v>
      </c>
      <c r="D18" s="451">
        <f>IF(ISNUMBER(Datos!M18),Datos!M18," - ")</f>
        <v>139</v>
      </c>
      <c r="E18" s="452">
        <f>IF(ISNUMBER(D18/B18),D18/B18," - ")</f>
        <v>139</v>
      </c>
      <c r="F18" s="451">
        <f>IF(ISNUMBER(Datos!N18),Datos!N18," - ")</f>
        <v>456</v>
      </c>
      <c r="G18" s="452">
        <f>IF(ISNUMBER(F18/B18),F18/B18," - ")</f>
        <v>456</v>
      </c>
      <c r="H18" s="451">
        <f>IF(ISNUMBER(Datos!O18),Datos!O18," - ")</f>
        <v>19</v>
      </c>
      <c r="I18" s="452">
        <f t="shared" si="5"/>
        <v>19</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8</v>
      </c>
      <c r="C23" s="1148">
        <f>Datos!AR23</f>
        <v>7</v>
      </c>
      <c r="D23" s="1146">
        <f>SUBTOTAL(9,D16:D22)</f>
        <v>1028</v>
      </c>
      <c r="E23" s="1147">
        <f t="shared" si="3"/>
        <v>128.5</v>
      </c>
      <c r="F23" s="1146">
        <f>SUBTOTAL(9,F16:F22)</f>
        <v>3976</v>
      </c>
      <c r="G23" s="1147">
        <f t="shared" si="4"/>
        <v>497</v>
      </c>
      <c r="H23" s="1146">
        <f>SUBTOTAL(9,H16:H22)</f>
        <v>81</v>
      </c>
      <c r="I23" s="1147">
        <f>IF(ISNUMBER(H23/B23),H23/B23," - ")</f>
        <v>10.125</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7</v>
      </c>
      <c r="C31" s="1084">
        <f>Datos!AR31</f>
        <v>7</v>
      </c>
      <c r="D31" s="1084">
        <f>SUBTOTAL(9,D8:D30)</f>
        <v>2141</v>
      </c>
      <c r="E31" s="1085">
        <f>IF(ISNUMBER(D31/B31),D31/B31," - ")</f>
        <v>305.85714285714283</v>
      </c>
      <c r="F31" s="1084">
        <f>SUBTOTAL(9,F8:F30)</f>
        <v>5666</v>
      </c>
      <c r="G31" s="1085">
        <f>IF(ISNUMBER(F31/B31),F31/B31," - ")</f>
        <v>809.42857142857144</v>
      </c>
      <c r="H31" s="1084">
        <f>SUBTOTAL(9,H8:H30)</f>
        <v>2940</v>
      </c>
      <c r="I31" s="1085">
        <f>IF(ISNUMBER(H31/B31),H31/B31," - ")</f>
        <v>420</v>
      </c>
    </row>
    <row r="34" spans="1:1">
      <c r="A34" s="439" t="str">
        <f>Criterios!A4</f>
        <v>Fecha Informe: 15 abr. 2023</v>
      </c>
    </row>
    <row r="39" spans="1:1">
      <c r="A39" s="462"/>
    </row>
  </sheetData>
  <sheetProtection algorithmName="SHA-512" hashValue="xbawXQBI6ZvRo2f1BbyYvab1RJwhZqvBnmfmj5pjypUBCuV47Ap+BUIcViu/3RJlQ1YtbvcobWU3U5qah7klew==" saltValue="6mnc0e/12w5B2Lgs/eCB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SAN JAVIER</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10</v>
      </c>
      <c r="C10" s="489">
        <f>IF(ISNUMBER(Datos!Q10),Datos!Q10," - ")</f>
        <v>10</v>
      </c>
      <c r="D10" s="456">
        <f>IF(ISNUMBER(Datos!R10),Datos!R10," - ")</f>
        <v>25</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1360</v>
      </c>
      <c r="C12" s="489">
        <f>IF(ISNUMBER(Datos!Q12),Datos!Q12," - ")</f>
        <v>1675</v>
      </c>
      <c r="D12" s="456">
        <f>IF(ISNUMBER(Datos!R12),Datos!R12," - ")</f>
        <v>6542</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1370</v>
      </c>
      <c r="C14" s="1150">
        <f>SUBTOTAL(9,C9:C13)</f>
        <v>1685</v>
      </c>
      <c r="D14" s="1148">
        <f>SUBTOTAL(9,D9:D13)</f>
        <v>6567</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235</v>
      </c>
      <c r="C17" s="489">
        <f>IF(ISNUMBER(Datos!Q17),Datos!Q17," - ")</f>
        <v>174</v>
      </c>
      <c r="D17" s="456">
        <f>IF(ISNUMBER(Datos!R17),Datos!R17," - ")</f>
        <v>455</v>
      </c>
    </row>
    <row r="18" spans="1:4">
      <c r="A18" s="450" t="str">
        <f>Datos!A18</f>
        <v>Jdos. Violencia contra la mujer</v>
      </c>
      <c r="B18" s="488">
        <f>IF(ISNUMBER(Datos!P18),Datos!P18," - ")</f>
        <v>28</v>
      </c>
      <c r="C18" s="489">
        <f>IF(ISNUMBER(Datos!Q18),Datos!Q18," - ")</f>
        <v>42</v>
      </c>
      <c r="D18" s="456">
        <f>IF(ISNUMBER(Datos!R18),Datos!R18," - ")</f>
        <v>8</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263</v>
      </c>
      <c r="C23" s="1150">
        <f>SUBTOTAL(9,C16:C22)</f>
        <v>216</v>
      </c>
      <c r="D23" s="1148">
        <f>SUBTOTAL(9,D16:D22)</f>
        <v>463</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1633</v>
      </c>
      <c r="C31" s="1089">
        <f>SUBTOTAL(9,C8:C30)</f>
        <v>1901</v>
      </c>
      <c r="D31" s="1090">
        <f>SUBTOTAL(9,D8:D30)</f>
        <v>7030</v>
      </c>
    </row>
    <row r="32" spans="1:4" ht="7.5" customHeight="1"/>
    <row r="33" spans="1:1" ht="6" customHeight="1"/>
    <row r="34" spans="1:1">
      <c r="A34" s="439" t="str">
        <f>Criterios!A4</f>
        <v>Fecha Informe: 15 abr. 2023</v>
      </c>
    </row>
    <row r="39" spans="1:1">
      <c r="A39" s="462"/>
    </row>
  </sheetData>
  <sheetProtection algorithmName="SHA-512" hashValue="75B+YyWphfL6HL3PgmfVHtDdzNXKOBeHhkS1E9WsCIzFbILYmH9sN2frT/2B06Hz2zgEwrcIfVbgeR3Hmv5vog==" saltValue="LEPwuqD7ky/XrVuvAcbg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SAN JAVIER</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-6.25E-2</v>
      </c>
      <c r="C10" s="515">
        <f>IF(ISNUMBER((Datos!J10-Datos!T10)/Datos!T10),(Datos!J10-Datos!T10)/Datos!T10," - ")</f>
        <v>-0.22619047619047619</v>
      </c>
      <c r="D10" s="515">
        <f>IF(ISNUMBER((Datos!K10-Datos!U10)/Datos!U10),(Datos!K10-Datos!U10)/Datos!U10," - ")</f>
        <v>-0.42857142857142855</v>
      </c>
      <c r="E10" s="515">
        <f>IF(ISNUMBER((Datos!L10-Datos!V10)/Datos!V10),(Datos!L10-Datos!V10)/Datos!V10," - ")</f>
        <v>0.14444444444444443</v>
      </c>
      <c r="F10" s="515">
        <f>IF(ISNUMBER((Datos!M10-Datos!W10)/Datos!W10),(Datos!M10-Datos!W10)/Datos!W10," - ")</f>
        <v>-0.22500000000000001</v>
      </c>
      <c r="G10" s="516">
        <f>IF(ISNUMBER((Datos!N10-Datos!X10)/Datos!X10),(Datos!N10-Datos!X10)/Datos!X10," - ")</f>
        <v>-0.15384615384615385</v>
      </c>
      <c r="H10" s="514">
        <f>IF(ISNUMBER(((NºAsuntos!G10/NºAsuntos!E10)-Datos!BD10)/Datos!BD10),((NºAsuntos!G10/NºAsuntos!E10)-Datos!BD10)/Datos!BD10," - ")</f>
        <v>-0.26153846153846144</v>
      </c>
      <c r="I10" s="515">
        <f>IF(ISNUMBER(((NºAsuntos!I10/NºAsuntos!G10)-Datos!BE10)/Datos!BE10),((NºAsuntos!I10/NºAsuntos!G10)-Datos!BE10)/Datos!BE10," - ")</f>
        <v>1.0027777777777778</v>
      </c>
      <c r="J10" s="521">
        <f>IF(ISNUMBER((('Resol  Asuntos'!D10/NºAsuntos!G10)-Datos!BF10)/Datos!BF10),(('Resol  Asuntos'!D10/NºAsuntos!G10)-Datos!BF10)/Datos!BF10," - ")</f>
        <v>0.35625000000000001</v>
      </c>
      <c r="K10" s="522">
        <f>IF(ISNUMBER((((NºAsuntos!C10+NºAsuntos!E10)/NºAsuntos!G10)-Datos!BG10)/Datos!BG10),(((NºAsuntos!C10+NºAsuntos!E10)/NºAsuntos!G10)-Datos!BG10)/Datos!BG10," - ")</f>
        <v>0.50694444444444442</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-4.7846889952153111E-4</v>
      </c>
      <c r="C12" s="515">
        <f>IF(ISNUMBER(
   IF(J_V="SI",(Datos!J12-Datos!T12)/Datos!T12,(Datos!J12+Datos!Z12-(Datos!T12+Datos!AH12))/(Datos!T12+Datos!AH12))
     ),IF(J_V="SI",(Datos!J12-Datos!T12)/Datos!T12,(Datos!J12+Datos!Z12-(Datos!T12+Datos!AH12))/(Datos!T12+Datos!AH12))," - ")</f>
        <v>0.14341387373343725</v>
      </c>
      <c r="D12" s="515">
        <f>IF(ISNUMBER(
   IF(J_V="SI",(Datos!K12-Datos!U12)/Datos!U12,(Datos!K12+Datos!AA12-(Datos!U12+Datos!AI12))/(Datos!U12+Datos!AI12))
     ),IF(J_V="SI",(Datos!K12-Datos!U12)/Datos!U12,(Datos!K12+Datos!AA12-(Datos!U12+Datos!AI12))/(Datos!U12+Datos!AI12))," - ")</f>
        <v>-2.52465483234714E-2</v>
      </c>
      <c r="E12" s="515">
        <f>IF(ISNUMBER(
   IF(J_V="SI",(Datos!L12-Datos!V12)/Datos!V12,(Datos!L12+Datos!AB12-(Datos!V12+Datos!AJ12))/(Datos!V12+Datos!AJ12))
     ),IF(J_V="SI",(Datos!L12-Datos!V12)/Datos!V12,(Datos!L12+Datos!AB12-(Datos!V12+Datos!AJ12))/(Datos!V12+Datos!AJ12))," - ")</f>
        <v>0.18094782192436573</v>
      </c>
      <c r="F12" s="515">
        <f>IF(ISNUMBER((Datos!M12-Datos!W12)/Datos!W12),(Datos!M12-Datos!W12)/Datos!W12," - ")</f>
        <v>-8.2493125572868919E-3</v>
      </c>
      <c r="G12" s="516">
        <f>IF(ISNUMBER((Datos!N12-Datos!X12)/Datos!X12),(Datos!N12-Datos!X12)/Datos!X12," - ")</f>
        <v>-3.5057471264367819E-2</v>
      </c>
      <c r="H12" s="514">
        <f>IF(ISNUMBER(((NºAsuntos!G12/NºAsuntos!E12)-Datos!BD12)/Datos!BD12),((NºAsuntos!G12/NºAsuntos!E12)-Datos!BD12)/Datos!BD12," - ")</f>
        <v>-0.14750601329176127</v>
      </c>
      <c r="I12" s="515">
        <f>IF(ISNUMBER(((NºAsuntos!I12/NºAsuntos!G12)-Datos!BE12)/Datos!BE12),((NºAsuntos!I12/NºAsuntos!G12)-Datos!BE12)/Datos!BE12," - ")</f>
        <v>0.21153489622754648</v>
      </c>
      <c r="J12" s="521">
        <f>IF(ISNUMBER((('Resol  Asuntos'!D12/NºAsuntos!G12)-Datos!BF12)/Datos!BF12),(('Resol  Asuntos'!D12/NºAsuntos!G12)-Datos!BF12)/Datos!BF12," - ")</f>
        <v>-0.3620550105360108</v>
      </c>
      <c r="K12" s="522">
        <f>IF(ISNUMBER((((NºAsuntos!C12+NºAsuntos!E12)/NºAsuntos!G12)-Datos!BG12)/Datos!BG12),(((NºAsuntos!C12+NºAsuntos!E12)/NºAsuntos!G12)-Datos!BG12)/Datos!BG12," - ")</f>
        <v>0.10676502063107296</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-1.8709073900841909E-3</v>
      </c>
      <c r="C14" s="1152">
        <f>IF(ISNUMBER(
   IF(J_V="SI",(Datos!J14-Datos!T14)/Datos!T14,(Datos!J14+Datos!Z14-(Datos!T14+Datos!AH14))/(Datos!T14+Datos!AH14))
     ),IF(J_V="SI",(Datos!J14-Datos!T14)/Datos!T14,(Datos!J14+Datos!Z14-(Datos!T14+Datos!AH14))/(Datos!T14+Datos!AH14))," - ")</f>
        <v>0.13746165644171779</v>
      </c>
      <c r="D14" s="1152">
        <f>IF(ISNUMBER(
   IF(J_V="SI",(Datos!K14-Datos!U14)/Datos!U14,(Datos!K14+Datos!AA14-(Datos!U14+Datos!AI14))/(Datos!U14+Datos!AI14))
     ),IF(J_V="SI",(Datos!K14-Datos!U14)/Datos!U14,(Datos!K14+Datos!AA14-(Datos!U14+Datos!AI14))/(Datos!U14+Datos!AI14))," - ")</f>
        <v>-3.2358070141445455E-2</v>
      </c>
      <c r="E14" s="1152">
        <f>IF(ISNUMBER(
   IF(J_V="SI",(Datos!L14-Datos!V14)/Datos!V14,(Datos!L14+Datos!AB14-(Datos!V14+Datos!AJ14))/(Datos!V14+Datos!AJ14))
     ),IF(J_V="SI",(Datos!L14-Datos!V14)/Datos!V14,(Datos!L14+Datos!AB14-(Datos!V14+Datos!AJ14))/(Datos!V14+Datos!AJ14))," - ")</f>
        <v>0.18017806935332709</v>
      </c>
      <c r="F14" s="1153">
        <f>IF(ISNUMBER((Datos!M14-Datos!W14)/Datos!W14),(Datos!M14-Datos!W14)/Datos!W14," - ")</f>
        <v>-1.5915119363395226E-2</v>
      </c>
      <c r="G14" s="1154">
        <f>IF(ISNUMBER((Datos!N14-Datos!X14)/Datos!X14),(Datos!N14-Datos!X14)/Datos!X14," - ")</f>
        <v>-3.5938391329150027E-2</v>
      </c>
      <c r="H14" s="1154">
        <f>IF(ISNUMBER(((NºAsuntos!G14/NºAsuntos!E14)-Datos!BD14)/Datos!BD14),((NºAsuntos!G14/NºAsuntos!E14)-Datos!BD14)/Datos!BD14," - ")</f>
        <v>-0.14929709992546425</v>
      </c>
      <c r="I14" s="1154">
        <f>IF(ISNUMBER(((NºAsuntos!I14/NºAsuntos!G14)-Datos!BE14)/Datos!BE14),((NºAsuntos!I14/NºAsuntos!G14)-Datos!BE14)/Datos!BE14," - ")</f>
        <v>0.21964337523678837</v>
      </c>
      <c r="J14" s="1154">
        <f>IF(ISNUMBER((('Resol  Asuntos'!D14/NºAsuntos!G14)-Datos!BF14)/Datos!BF14),(('Resol  Asuntos'!D14/NºAsuntos!G14)-Datos!BF14)/Datos!BF14," - ")</f>
        <v>-0.35380962773305491</v>
      </c>
      <c r="K14" s="1154">
        <f>IF(ISNUMBER((((NºAsuntos!C14+NºAsuntos!E14)/NºAsuntos!G14)-Datos!BG14)/Datos!BG14),(((NºAsuntos!C14+NºAsuntos!E14)/NºAsuntos!G14)-Datos!BG14)/Datos!BG14," - ")</f>
        <v>0.11063240068444535</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-0.21424070573408949</v>
      </c>
      <c r="C17" s="515">
        <f>IF(ISNUMBER(
   IF(D_I="SI",(Datos!J17-Datos!T17)/Datos!T17,(Datos!J17+Datos!AD17-(Datos!T17+Datos!AL17))/(Datos!T17+Datos!AL17))
     ),IF(D_I="SI",(Datos!J17-Datos!T17)/Datos!T17,(Datos!J17+Datos!AD17-(Datos!T17+Datos!AL17))/(Datos!T17+Datos!AL17))," - ")</f>
        <v>4.583333333333333E-2</v>
      </c>
      <c r="D17" s="515">
        <f>IF(ISNUMBER(
   IF(D_I="SI",(Datos!K17-Datos!U17)/Datos!U17,(Datos!K17+Datos!AE17-(Datos!U17+Datos!AM17))/(Datos!U17+Datos!AM17))
     ),IF(D_I="SI",(Datos!K17-Datos!U17)/Datos!U17,(Datos!K17+Datos!AE17-(Datos!U17+Datos!AM17))/(Datos!U17+Datos!AM17))," - ")</f>
        <v>1.1512297226582941E-2</v>
      </c>
      <c r="E17" s="515">
        <f>IF(ISNUMBER(
   IF(D_I="SI",(Datos!L17-Datos!V17)/Datos!V17,(Datos!L17+Datos!AF17-(Datos!V17+Datos!AN17))/(Datos!V17+Datos!AN17))
     ),IF(D_I="SI",(Datos!L17-Datos!V17)/Datos!V17,(Datos!L17+Datos!AF17-(Datos!V17+Datos!AN17))/(Datos!V17+Datos!AN17))," - ")</f>
        <v>3.8893344025661587E-2</v>
      </c>
      <c r="F17" s="515">
        <f>IF(ISNUMBER((Datos!M17-Datos!W17)/Datos!W17),(Datos!M17-Datos!W17)/Datos!W17," - ")</f>
        <v>-5.3248136315228969E-2</v>
      </c>
      <c r="G17" s="516">
        <f>IF(ISNUMBER((Datos!N17-Datos!X17)/Datos!X17),(Datos!N17-Datos!X17)/Datos!X17," - ")</f>
        <v>3.7430002947244329E-2</v>
      </c>
      <c r="H17" s="514">
        <f>IF(ISNUMBER(((NºAsuntos!G17/NºAsuntos!E17)-Datos!BD17)/Datos!BD17),((NºAsuntos!G17/NºAsuntos!E17)-Datos!BD17)/Datos!BD17," - ")</f>
        <v>-3.2816926954661742E-2</v>
      </c>
      <c r="I17" s="515">
        <f>IF(ISNUMBER(((NºAsuntos!I17/NºAsuntos!G17)-Datos!BE17)/Datos!BE17),((NºAsuntos!I17/NºAsuntos!G17)-Datos!BE17)/Datos!BE17," - ")</f>
        <v>2.7069415640475464E-2</v>
      </c>
      <c r="J17" s="521">
        <f>IF(ISNUMBER((('Resol  Asuntos'!D17/NºAsuntos!G17)-Datos!BF17)/Datos!BF17),(('Resol  Asuntos'!D17/NºAsuntos!G17)-Datos!BF17)/Datos!BF17," - ")</f>
        <v>-6.4023377391827591E-2</v>
      </c>
      <c r="K17" s="522">
        <f>IF(ISNUMBER((((NºAsuntos!C17+NºAsuntos!E17)/NºAsuntos!G17)-Datos!BG17)/Datos!BG17),(((NºAsuntos!C17+NºAsuntos!E17)/NºAsuntos!G17)-Datos!BG17)/Datos!BG17," - ")</f>
        <v>-5.7415007867663438E-2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1.9047619047619049E-2</v>
      </c>
      <c r="C18" s="515">
        <f>IF(ISNUMBER(
   IF(D_I="SI",(Datos!J18-Datos!T18)/Datos!T18,(Datos!J18+Datos!AD18-(Datos!T18+Datos!AL18))/(Datos!T18+Datos!AL18))
     ),IF(D_I="SI",(Datos!J18-Datos!T18)/Datos!T18,(Datos!J18+Datos!AD18-(Datos!T18+Datos!AL18))/(Datos!T18+Datos!AL18))," - ")</f>
        <v>1.308139534883721E-2</v>
      </c>
      <c r="D18" s="515">
        <f>IF(ISNUMBER(
   IF(D_I="SI",(Datos!K18-Datos!U18)/Datos!U18,(Datos!K18+Datos!AE18-(Datos!U18+Datos!AM18))/(Datos!U18+Datos!AM18))
     ),IF(D_I="SI",(Datos!K18-Datos!U18)/Datos!U18,(Datos!K18+Datos!AE18-(Datos!U18+Datos!AM18))/(Datos!U18+Datos!AM18))," - ")</f>
        <v>0.11014492753623188</v>
      </c>
      <c r="E18" s="515">
        <f>IF(ISNUMBER(
   IF(D_I="SI",(Datos!L18-Datos!V18)/Datos!V18,(Datos!L18+Datos!AF18-(Datos!V18+Datos!AN18))/(Datos!V18+Datos!AN18))
     ),IF(D_I="SI",(Datos!L18-Datos!V18)/Datos!V18,(Datos!L18+Datos!AF18-(Datos!V18+Datos!AN18))/(Datos!V18+Datos!AN18))," - ")</f>
        <v>-0.30841121495327101</v>
      </c>
      <c r="F18" s="515">
        <f>IF(ISNUMBER((Datos!M18-Datos!W18)/Datos!W18),(Datos!M18-Datos!W18)/Datos!W18," - ")</f>
        <v>-0.10897435897435898</v>
      </c>
      <c r="G18" s="516">
        <f>IF(ISNUMBER((Datos!N18-Datos!X18)/Datos!X18),(Datos!N18-Datos!X18)/Datos!X18," - ")</f>
        <v>0.27374301675977653</v>
      </c>
      <c r="H18" s="514">
        <f>IF(ISNUMBER(((NºAsuntos!G18/NºAsuntos!E18)-Datos!BD18)/Datos!BD18),((NºAsuntos!G18/NºAsuntos!E18)-Datos!BD18)/Datos!BD18," - ")</f>
        <v>9.5810201068762493E-2</v>
      </c>
      <c r="I18" s="515">
        <f>IF(ISNUMBER(((NºAsuntos!I18/NºAsuntos!G18)-Datos!BE18)/Datos!BE18),((NºAsuntos!I18/NºAsuntos!G18)-Datos!BE18)/Datos!BE18," - ")</f>
        <v>-0.37702837900490477</v>
      </c>
      <c r="J18" s="521">
        <f>IF(ISNUMBER((('Resol  Asuntos'!D18/NºAsuntos!G18)-Datos!BF18)/Datos!BF18),(('Resol  Asuntos'!D18/NºAsuntos!G18)-Datos!BF18)/Datos!BF18," - ")</f>
        <v>-0.19737899176541479</v>
      </c>
      <c r="K18" s="522">
        <f>IF(ISNUMBER((((NºAsuntos!C18+NºAsuntos!E18)/NºAsuntos!G18)-Datos!BG18)/Datos!BG18),(((NºAsuntos!C18+NºAsuntos!E18)/NºAsuntos!G18)-Datos!BG18)/Datos!BG18," - ")</f>
        <v>-8.617641756848704E-2</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-0.19976359338061467</v>
      </c>
      <c r="C23" s="1152">
        <f>IF(ISNUMBER(
   IF(Criterios!B14="SI",(Datos!J23-Datos!T23)/Datos!T23,(Datos!J23+Datos!AD23-(Datos!T23+Datos!AL23))/(Datos!T23+Datos!AL23))
     ),IF(Criterios!B14="SI",(Datos!J23-Datos!T23)/Datos!T23,(Datos!J23+Datos!AD23-(Datos!T23+Datos!AL23))/(Datos!T23+Datos!AL23))," - ")</f>
        <v>4.2338709677419352E-2</v>
      </c>
      <c r="D23" s="1152">
        <f>IF(ISNUMBER(
   IF(Criterios!B14="SI",(Datos!K23-Datos!U23)/Datos!U23,(Datos!K23+Datos!AE23-(Datos!U23+Datos!AM23))/(Datos!U23+Datos!AM23))
     ),IF(Criterios!B14="SI",(Datos!K23-Datos!U23)/Datos!U23,(Datos!K23+Datos!AE23-(Datos!U23+Datos!AM23))/(Datos!U23+Datos!AM23))," - ")</f>
        <v>2.210804919819399E-2</v>
      </c>
      <c r="E23" s="1152">
        <f>IF(ISNUMBER(
   IF(Criterios!B14="SI",(Datos!L23-Datos!V23)/Datos!V23,(Datos!L23+Datos!AF23-(Datos!V23+Datos!AN23))/(Datos!V23+Datos!AN23))
     ),IF(Criterios!B14="SI",(Datos!L23-Datos!V23)/Datos!V23,(Datos!L23+Datos!AF23-(Datos!V23+Datos!AN23))/(Datos!V23+Datos!AN23))," - ")</f>
        <v>1.1447562776957163E-2</v>
      </c>
      <c r="F23" s="1153">
        <f>IF(ISNUMBER((Datos!M23-Datos!W23)/Datos!W23),(Datos!M23-Datos!W23)/Datos!W23," - ")</f>
        <v>-6.1187214611872147E-2</v>
      </c>
      <c r="G23" s="1154">
        <f>IF(ISNUMBER((Datos!N23-Datos!X23)/Datos!X23),(Datos!N23-Datos!X23)/Datos!X23," - ")</f>
        <v>5.9984004265529189E-2</v>
      </c>
      <c r="H23" s="1154">
        <f>IF(ISNUMBER(((NºAsuntos!G23/NºAsuntos!E23)-Datos!BD23)/Datos!BD23),((NºAsuntos!G23/NºAsuntos!E23)-Datos!BD23)/Datos!BD23," - ")</f>
        <v>-1.9408912181229671E-2</v>
      </c>
      <c r="I23" s="1154">
        <f>IF(ISNUMBER(((NºAsuntos!I23/NºAsuntos!G23)-Datos!BE23)/Datos!BE23),((NºAsuntos!I23/NºAsuntos!G23)-Datos!BE23)/Datos!BE23," - ")</f>
        <v>-1.042990164259004E-2</v>
      </c>
      <c r="J23" s="1154">
        <f>IF(ISNUMBER((('Resol  Asuntos'!D23/NºAsuntos!G23)-Datos!BF23)/Datos!BF23),(('Resol  Asuntos'!D23/NºAsuntos!G23)-Datos!BF23)/Datos!BF23," - ")</f>
        <v>-8.1493599307243578E-2</v>
      </c>
      <c r="K23" s="1154">
        <f>IF(ISNUMBER((((NºAsuntos!C23+NºAsuntos!E23)/NºAsuntos!G23)-Datos!BG23)/Datos!BG23),(((NºAsuntos!C23+NºAsuntos!E23)/NºAsuntos!G23)-Datos!BG23)/Datos!BG23," - ")</f>
        <v>-6.1731886244892883E-2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-8.9295039164490858E-2</v>
      </c>
      <c r="C31" s="1092">
        <f>IF(ISNUMBER(
   IF(J_V="SI",(Datos!J31-Datos!T31)/Datos!T31,(Datos!J31+Datos!Z31-(Datos!T31+Datos!AH31))/(Datos!T31+Datos!AH31))
     ),IF(J_V="SI",(Datos!J31-Datos!T31)/Datos!T31,(Datos!J31+Datos!Z31-(Datos!T31+Datos!AH31))/(Datos!T31+Datos!AH31))," - ")</f>
        <v>8.4876543209876545E-2</v>
      </c>
      <c r="D31" s="1092">
        <f>IF(ISNUMBER(
   IF(J_V="SI",(Datos!K31-Datos!U31)/Datos!U31,(Datos!K31+Datos!AA31-(Datos!U31+Datos!AI31))/(Datos!U31+Datos!AI31))
     ),IF(J_V="SI",(Datos!K31-Datos!U31)/Datos!U31,(Datos!K31+Datos!AA31-(Datos!U31+Datos!AI31))/(Datos!U31+Datos!AI31))," - ")</f>
        <v>-2.1581491712707184E-3</v>
      </c>
      <c r="E31" s="1092">
        <f>IF(ISNUMBER(
   IF(J_V="SI",(Datos!L31-Datos!V31)/Datos!V31,(Datos!L31+Datos!AB31-(Datos!V31+Datos!AJ31))/(Datos!V31+Datos!AJ31))
     ),IF(J_V="SI",(Datos!L31-Datos!V31)/Datos!V31,(Datos!L31+Datos!AB31-(Datos!V31+Datos!AJ31))/(Datos!V31+Datos!AJ31))," - ")</f>
        <v>0.11467889908256881</v>
      </c>
      <c r="F31" s="1093">
        <f>IF(ISNUMBER((Datos!M31-Datos!W31)/Datos!W31),(Datos!M31-Datos!W31)/Datos!W31," - ")</f>
        <v>-3.8185085354896675E-2</v>
      </c>
      <c r="G31" s="1094">
        <f>IF(ISNUMBER((Datos!N31-Datos!X31)/Datos!X31),(Datos!N31-Datos!X31)/Datos!X31," - ")</f>
        <v>2.9433139534883721E-2</v>
      </c>
      <c r="H31" s="1095">
        <f>IF(ISNUMBER((Tasas!B31-Datos!BD31)/Datos!BD31),(Tasas!B31-Datos!BD31)/Datos!BD31," - ")</f>
        <v>-8.022543479798494E-2</v>
      </c>
      <c r="I31" s="1096">
        <f>IF(ISNUMBER((Tasas!C31-Datos!BE31)/Datos!BE31),(Tasas!C31-Datos!BE31)/Datos!BE31," - ")</f>
        <v>0.11708974539081893</v>
      </c>
      <c r="J31" s="1097">
        <f>IF(ISNUMBER((Tasas!D31-Datos!BF31)/Datos!BF31),(Tasas!D31-Datos!BF31)/Datos!BF31," - ")</f>
        <v>-0.25369370751945591</v>
      </c>
      <c r="K31" s="1097">
        <f>IF(ISNUMBER((Tasas!E31-Datos!BG31)/Datos!BG31),(Tasas!E31-Datos!BG31)/Datos!BG31," - ")</f>
        <v>1.8032296357787785E-2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i96YatzGhXjzVwhWagB6dg1zOjgr6WXpYTiUcYtnKs8Y1E6nj8VdkVh2UAcdSZ0KZGh0fQkeU8TnDDyZ1Pk3vg==" saltValue="6Wr1wPmpd73qD7+p34DdTg=="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SAN JAVIER</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0.8</v>
      </c>
      <c r="C10" s="498">
        <f>IF(ISNUMBER(NºAsuntos!I10/NºAsuntos!G10),NºAsuntos!I10/NºAsuntos!G10," - ")</f>
        <v>1.9807692307692308</v>
      </c>
      <c r="D10" s="499">
        <f>IF(ISNUMBER('Resol  Asuntos'!D10/NºAsuntos!G10),'Resol  Asuntos'!D10/NºAsuntos!G10," - ")</f>
        <v>0.59615384615384615</v>
      </c>
      <c r="E10" s="500">
        <f>IF(ISNUMBER((NºAsuntos!C10+NºAsuntos!E10)/NºAsuntos!G10),(NºAsuntos!C10+NºAsuntos!E10)/NºAsuntos!G10," - ")</f>
        <v>2.9807692307692308</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0.84219495569188818</v>
      </c>
      <c r="C12" s="498">
        <f>IF(ISNUMBER(NºAsuntos!I12/NºAsuntos!G12),NºAsuntos!I12/NºAsuntos!G12," - ")</f>
        <v>0.99838122217725622</v>
      </c>
      <c r="D12" s="499">
        <f>IF(ISNUMBER('Resol  Asuntos'!D12/NºAsuntos!G12),'Resol  Asuntos'!D12/NºAsuntos!G12," - ")</f>
        <v>0.21893970052610279</v>
      </c>
      <c r="E12" s="500">
        <f>IF(ISNUMBER((NºAsuntos!C12+NºAsuntos!E12)/NºAsuntos!G12),(NºAsuntos!C12+NºAsuntos!E12)/NºAsuntos!G12," - ")</f>
        <v>2.0327802509105624</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0.84173268161132653</v>
      </c>
      <c r="C14" s="1156">
        <f>IF(ISNUMBER(NºAsuntos!I14/NºAsuntos!G14),NºAsuntos!I14/NºAsuntos!G14," - ")</f>
        <v>1.0086103323988787</v>
      </c>
      <c r="D14" s="1157">
        <f>IF(ISNUMBER('Resol  Asuntos'!D14/NºAsuntos!G14),'Resol  Asuntos'!D14/NºAsuntos!G14," - ")</f>
        <v>0.22286744092911495</v>
      </c>
      <c r="E14" s="1158">
        <f>IF(ISNUMBER((NºAsuntos!C14+NºAsuntos!E14)/NºAsuntos!G14),(NºAsuntos!C14+NºAsuntos!E14)/NºAsuntos!G14," - ")</f>
        <v>2.0426511814177011</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0.96264940239043828</v>
      </c>
      <c r="C17" s="498">
        <f>IF(ISNUMBER(NºAsuntos!I17/NºAsuntos!G17),NºAsuntos!I17/NºAsuntos!G17," - ")</f>
        <v>0.44680117261596825</v>
      </c>
      <c r="D17" s="499">
        <f>IF(ISNUMBER('Resol  Asuntos'!D17/NºAsuntos!G17),'Resol  Asuntos'!D17/NºAsuntos!G17," - ")</f>
        <v>0.15330229349887911</v>
      </c>
      <c r="E17" s="500">
        <f>IF(ISNUMBER((NºAsuntos!C17+NºAsuntos!E17)/NºAsuntos!G17),(NºAsuntos!C17+NºAsuntos!E17)/NºAsuntos!G17," - ")</f>
        <v>1.4688739437834109</v>
      </c>
      <c r="G17" s="523"/>
    </row>
    <row r="18" spans="1:7">
      <c r="A18" s="450" t="str">
        <f>Datos!A18</f>
        <v>Jdos. Violencia contra la mujer</v>
      </c>
      <c r="B18" s="497">
        <f>IF(ISNUMBER(NºAsuntos!G18/NºAsuntos!E18),NºAsuntos!G18/NºAsuntos!E18," - ")</f>
        <v>1.0989956958393112</v>
      </c>
      <c r="C18" s="498">
        <f>IF(ISNUMBER(NºAsuntos!I18/NºAsuntos!G18),NºAsuntos!I18/NºAsuntos!G18," - ")</f>
        <v>0.19321148825065274</v>
      </c>
      <c r="D18" s="499">
        <f>IF(ISNUMBER('Resol  Asuntos'!D18/NºAsuntos!G18),'Resol  Asuntos'!D18/NºAsuntos!G18," - ")</f>
        <v>0.18146214099216709</v>
      </c>
      <c r="E18" s="500">
        <f>IF(ISNUMBER((NºAsuntos!C18+NºAsuntos!E18)/NºAsuntos!G18),(NºAsuntos!C18+NºAsuntos!E18)/NºAsuntos!G18," - ")</f>
        <v>1.1892950391644908</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0.97678916827853002</v>
      </c>
      <c r="C23" s="1156">
        <f>IF(ISNUMBER(NºAsuntos!I23/NºAsuntos!G23),NºAsuntos!I23/NºAsuntos!G23," - ")</f>
        <v>0.41721249047981723</v>
      </c>
      <c r="D23" s="1159">
        <f>IF(ISNUMBER('Resol  Asuntos'!D23/NºAsuntos!G23),'Resol  Asuntos'!D23/NºAsuntos!G23," - ")</f>
        <v>0.15658796648895659</v>
      </c>
      <c r="E23" s="1158">
        <f>IF(ISNUMBER((NºAsuntos!C23+NºAsuntos!E23)/NºAsuntos!G23),(NºAsuntos!C23+NºAsuntos!E23)/NºAsuntos!G23," - ")</f>
        <v>1.4362528560548362</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0.91346609767662401</v>
      </c>
      <c r="C31" s="1099">
        <f>IF(ISNUMBER(NºAsuntos!I31/NºAsuntos!G31),NºAsuntos!I31/NºAsuntos!G31," - ")</f>
        <v>0.67272255385413959</v>
      </c>
      <c r="D31" s="1100">
        <f>IF(ISNUMBER('Resol  Asuntos'!D31/NºAsuntos!G31),'Resol  Asuntos'!D31/NºAsuntos!G31," - ")</f>
        <v>0.18522363526256597</v>
      </c>
      <c r="E31" s="1101">
        <f>IF(ISNUMBER((NºAsuntos!C31+NºAsuntos!E31)/NºAsuntos!G31),(NºAsuntos!C31+NºAsuntos!E31)/NºAsuntos!G31," - ")</f>
        <v>1.6982437927156329</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vjl34nRYAuV8o6OZx22bwt/aQqMxrVQEfmjSR9VFNnnxrN7lwY3rrj3MpRbZFDaoKetyWkzhgOdfSZ2MJXvsIA==" saltValue="RHqArDwx+cCFOfDZTcZ0A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SAN JAVIER</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90</v>
      </c>
      <c r="G10" s="373">
        <f>IF(ISNUMBER(Datos!I10),Datos!I10," - ")</f>
        <v>90</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10</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52</v>
      </c>
      <c r="X10" s="240">
        <f>IF(ISNUMBER(Datos!Q10),Datos!Q10," - ")</f>
        <v>10</v>
      </c>
      <c r="Y10" s="374">
        <f t="shared" ref="Y10:Y13" si="0">SUM(W10:X10)</f>
        <v>62</v>
      </c>
      <c r="Z10" s="375" t="str">
        <f>IF(ISNUMBER(Datos!CC10),Datos!CC10," - ")</f>
        <v xml:space="preserve"> - </v>
      </c>
      <c r="AA10" s="372">
        <f>IF(ISNUMBER(Datos!L10),Datos!L10,"-")</f>
        <v>103</v>
      </c>
      <c r="AB10" s="374">
        <f>IF(ISNUMBER(Datos!R10),Datos!R10," - ")</f>
        <v>25</v>
      </c>
      <c r="AC10" s="374">
        <f t="shared" ref="AC10:AC13" si="1">IF(ISNUMBER(AA10+AB10),AA10+AB10," - ")</f>
        <v>128</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31</v>
      </c>
      <c r="AJ10" s="245" t="str">
        <f>IF(ISNUMBER(Datos!BW10),Datos!BW10," - ")</f>
        <v xml:space="preserve"> - </v>
      </c>
      <c r="AK10" s="246" t="str">
        <f>IF(ISNUMBER(Datos!BX10),Datos!BX10," - ")</f>
        <v xml:space="preserve"> - </v>
      </c>
      <c r="AL10" s="266">
        <f>IF(ISNUMBER(NºAsuntos!G10/NºAsuntos!E10),NºAsuntos!G10/NºAsuntos!E10," - ")</f>
        <v>0.8</v>
      </c>
      <c r="AM10" s="284">
        <f>IF(ISNUMBER(((NºAsuntos!I10/NºAsuntos!G10)*11)/factor_trimestre),((NºAsuntos!I10/NºAsuntos!G10)*11)/factor_trimestre," - ")</f>
        <v>21.78846153846154</v>
      </c>
      <c r="AN10" s="267">
        <f>IF(ISNUMBER('Resol  Asuntos'!D10/NºAsuntos!G10),'Resol  Asuntos'!D10/NºAsuntos!G10," - ")</f>
        <v>0.59615384615384615</v>
      </c>
      <c r="AO10" s="268">
        <f>IF(ISNUMBER((NºAsuntos!C10+NºAsuntos!E10)/NºAsuntos!G10),(NºAsuntos!C10+NºAsuntos!E10)/NºAsuntos!G10," - ")</f>
        <v>2.9807692307692308</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7</v>
      </c>
      <c r="B12" s="300" t="s">
        <v>321</v>
      </c>
      <c r="C12" s="7" t="str">
        <f>Datos!A12</f>
        <v xml:space="preserve">Jdos. 1ª Instª. e Instr.                        </v>
      </c>
      <c r="D12" s="7"/>
      <c r="E12" s="1402">
        <f>IF(ISNUMBER(Datos!AQ12),Datos!AQ12," - ")</f>
        <v>7</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1360</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1675</v>
      </c>
      <c r="Y12" s="374">
        <f t="shared" si="0"/>
        <v>1675</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6542</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1082</v>
      </c>
      <c r="AJ12" s="243" t="str">
        <f>IF(ISNUMBER(Datos!BW12),Datos!BW12," - ")</f>
        <v xml:space="preserve"> - </v>
      </c>
      <c r="AK12" s="242" t="str">
        <f>IF(ISNUMBER(Datos!BX12),Datos!BX12," - ")</f>
        <v xml:space="preserve"> - </v>
      </c>
      <c r="AL12" s="266">
        <f>IF(ISNUMBER(NºAsuntos!G12/NºAsuntos!E12),NºAsuntos!G12/NºAsuntos!E12," - ")</f>
        <v>0.84219495569188818</v>
      </c>
      <c r="AM12" s="284">
        <f>IF(ISNUMBER(((NºAsuntos!I12/NºAsuntos!G12)*11)/factor_trimestre),((NºAsuntos!I12/NºAsuntos!G12)*11)/factor_trimestre," - ")</f>
        <v>10.982193443949818</v>
      </c>
      <c r="AN12" s="267">
        <f>IF(ISNUMBER('Resol  Asuntos'!D12/NºAsuntos!G12),'Resol  Asuntos'!D12/NºAsuntos!G12," - ")</f>
        <v>0.21893970052610279</v>
      </c>
      <c r="AO12" s="268">
        <f>IF(ISNUMBER((NºAsuntos!C12+NºAsuntos!E12)/NºAsuntos!G12),(NºAsuntos!C12+NºAsuntos!E12)/NºAsuntos!G12," - ")</f>
        <v>2.0327802509105624</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7</v>
      </c>
      <c r="F14" s="1162">
        <f t="shared" si="5"/>
        <v>90</v>
      </c>
      <c r="G14" s="1163">
        <f t="shared" si="5"/>
        <v>90</v>
      </c>
      <c r="H14" s="1162">
        <f t="shared" si="5"/>
        <v>0</v>
      </c>
      <c r="I14" s="1164">
        <f t="shared" si="5"/>
        <v>0</v>
      </c>
      <c r="J14" s="1164">
        <f t="shared" si="5"/>
        <v>0</v>
      </c>
      <c r="K14" s="1164">
        <f t="shared" si="5"/>
        <v>0</v>
      </c>
      <c r="L14" s="1164">
        <f t="shared" si="5"/>
        <v>1370</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52</v>
      </c>
      <c r="X14" s="1164">
        <f t="shared" si="6"/>
        <v>1685</v>
      </c>
      <c r="Y14" s="1165">
        <f t="shared" si="6"/>
        <v>1737</v>
      </c>
      <c r="Z14" s="1165">
        <f t="shared" si="6"/>
        <v>0</v>
      </c>
      <c r="AA14" s="1165">
        <f t="shared" si="6"/>
        <v>103</v>
      </c>
      <c r="AB14" s="1165">
        <f t="shared" si="6"/>
        <v>6567</v>
      </c>
      <c r="AC14" s="1165">
        <f t="shared" si="6"/>
        <v>128</v>
      </c>
      <c r="AD14" s="1165">
        <f t="shared" si="6"/>
        <v>0</v>
      </c>
      <c r="AE14" s="1169">
        <f t="shared" si="6"/>
        <v>0</v>
      </c>
      <c r="AF14" s="1162">
        <f t="shared" si="6"/>
        <v>0</v>
      </c>
      <c r="AG14" s="1170">
        <f t="shared" si="6"/>
        <v>0</v>
      </c>
      <c r="AH14" s="1167">
        <f t="shared" si="6"/>
        <v>0</v>
      </c>
      <c r="AI14" s="1162">
        <f t="shared" si="6"/>
        <v>1113</v>
      </c>
      <c r="AJ14" s="1164">
        <f t="shared" si="6"/>
        <v>0</v>
      </c>
      <c r="AK14" s="1167">
        <f>SUBTOTAL(9,AK9:AK13)</f>
        <v>0</v>
      </c>
      <c r="AL14" s="1171">
        <f>IF(ISNUMBER(NºAsuntos!G14/NºAsuntos!E14),NºAsuntos!G14/NºAsuntos!E14," - ")</f>
        <v>0.84173268161132653</v>
      </c>
      <c r="AM14" s="1171">
        <f>IF(ISNUMBER(((NºAsuntos!I14/NºAsuntos!G14)*11)/factor_trimestre),((NºAsuntos!I14/NºAsuntos!G14)*11)/factor_trimestre," - ")</f>
        <v>11.094713656387665</v>
      </c>
      <c r="AN14" s="1172">
        <f>IF(ISNUMBER('Resol  Asuntos'!D14/NºAsuntos!G14),'Resol  Asuntos'!D14/NºAsuntos!G14," - ")</f>
        <v>0.22286744092911495</v>
      </c>
      <c r="AO14" s="1173">
        <f>IF(ISNUMBER((NºAsuntos!C14+NºAsuntos!E14)/NºAsuntos!G14),(NºAsuntos!C14+NºAsuntos!E14)/NºAsuntos!G14," - ")</f>
        <v>2.0426511814177011</v>
      </c>
      <c r="AP14" s="1174" t="str">
        <f t="shared" si="2"/>
        <v xml:space="preserve"> - </v>
      </c>
      <c r="AQ14" s="1174">
        <f>IF(ISNUMBER((H14-W14+K14)/(F14)),(H14-W14+K14)/(F14)," - ")</f>
        <v>-0.57777777777777772</v>
      </c>
      <c r="AR14" s="1175">
        <f>IF(ISNUMBER((Datos!P14-Datos!Q14)/(Datos!R14-Datos!P14+Datos!Q14)),(Datos!P14-Datos!Q14)/(Datos!R14-Datos!P14+Datos!Q14)," - ")</f>
        <v>-4.5771578029642546E-2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7</v>
      </c>
      <c r="B17" s="300" t="s">
        <v>511</v>
      </c>
      <c r="C17" s="173" t="str">
        <f>Datos!A17</f>
        <v xml:space="preserve">Jdos. 1ª Instª. e Instr.                        </v>
      </c>
      <c r="D17" s="173"/>
      <c r="E17" s="1402">
        <f>IF(ISNUMBER(Datos!AQ17),Datos!AQ17," - ")</f>
        <v>7</v>
      </c>
      <c r="F17" s="239">
        <f>IF(ISNUMBER(AA17+W17-Datos!J17-K17),AA17+W17-Datos!J17-K17," - ")</f>
        <v>2366</v>
      </c>
      <c r="G17" s="373">
        <f>IF(ISNUMBER(IF(D_I="SI",Datos!I17,Datos!I17+Datos!AC17)),IF(D_I="SI",Datos!I17,Datos!I17+Datos!AC17)," - ")</f>
        <v>2494</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235</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5799</v>
      </c>
      <c r="X17" s="240">
        <f>IF(ISNUMBER(Datos!Q17),Datos!Q17," - ")</f>
        <v>174</v>
      </c>
      <c r="Y17" s="374">
        <f t="shared" ref="Y17:Y22" si="9">SUM(W17:X17)</f>
        <v>5973</v>
      </c>
      <c r="Z17" s="375" t="str">
        <f>IF(ISNUMBER(Datos!CC17),Datos!CC17," - ")</f>
        <v xml:space="preserve"> - </v>
      </c>
      <c r="AA17" s="372">
        <f>IF(ISNUMBER(IF(D_I="SI",Datos!L17,Datos!L17+Datos!AF17)),IF(D_I="SI",Datos!L17,Datos!L17+Datos!AF17)," - ")</f>
        <v>2591</v>
      </c>
      <c r="AB17" s="374">
        <f>IF(ISNUMBER(Datos!R17),Datos!R17," - ")</f>
        <v>455</v>
      </c>
      <c r="AC17" s="374">
        <f t="shared" si="8"/>
        <v>3046</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889</v>
      </c>
      <c r="AJ17" s="245" t="str">
        <f>IF(ISNUMBER(Datos!BW17),Datos!BW17," - ")</f>
        <v xml:space="preserve"> - </v>
      </c>
      <c r="AK17" s="246" t="str">
        <f>IF(ISNUMBER(Datos!BX17),Datos!BX17," - ")</f>
        <v xml:space="preserve"> - </v>
      </c>
      <c r="AL17" s="266">
        <f>IF(ISNUMBER(NºAsuntos!G17/NºAsuntos!E17),NºAsuntos!G17/NºAsuntos!E17," - ")</f>
        <v>0.96264940239043828</v>
      </c>
      <c r="AM17" s="284">
        <f>IF(ISNUMBER(((NºAsuntos!I17/NºAsuntos!G17)*11)/factor_trimestre),((NºAsuntos!I17/NºAsuntos!G17)*11)/factor_trimestre," - ")</f>
        <v>4.9148128987756508</v>
      </c>
      <c r="AN17" s="267">
        <f>IF(ISNUMBER('Resol  Asuntos'!D17/NºAsuntos!G17),'Resol  Asuntos'!D17/NºAsuntos!G17," - ")</f>
        <v>0.15330229349887911</v>
      </c>
      <c r="AO17" s="268">
        <f>IF(ISNUMBER((NºAsuntos!C17+NºAsuntos!E17)/NºAsuntos!G17),(NºAsuntos!C17+NºAsuntos!E17)/NºAsuntos!G17," - ")</f>
        <v>1.4688739437834109</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214</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28</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766</v>
      </c>
      <c r="X18" s="240">
        <f>IF(ISNUMBER(Datos!Q18),Datos!Q18," - ")</f>
        <v>42</v>
      </c>
      <c r="Y18" s="374">
        <f t="shared" si="9"/>
        <v>808</v>
      </c>
      <c r="Z18" s="375" t="str">
        <f>IF(ISNUMBER(Datos!CC18),Datos!CC18," - ")</f>
        <v xml:space="preserve"> - </v>
      </c>
      <c r="AA18" s="372">
        <f>IF(ISNUMBER(Datos!L18),Datos!L18,"-")</f>
        <v>148</v>
      </c>
      <c r="AB18" s="374">
        <f>IF(ISNUMBER(Datos!R18),Datos!R18," - ")</f>
        <v>8</v>
      </c>
      <c r="AC18" s="374">
        <f t="shared" si="8"/>
        <v>156</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139</v>
      </c>
      <c r="AJ18" s="245" t="str">
        <f>IF(ISNUMBER(Datos!BW18),Datos!BW18," - ")</f>
        <v xml:space="preserve"> - </v>
      </c>
      <c r="AK18" s="246" t="str">
        <f>IF(ISNUMBER(Datos!BX18),Datos!BX18," - ")</f>
        <v xml:space="preserve"> - </v>
      </c>
      <c r="AL18" s="266">
        <f>IF(ISNUMBER(NºAsuntos!G18/NºAsuntos!E18),NºAsuntos!G18/NºAsuntos!E18," - ")</f>
        <v>1.0989956958393112</v>
      </c>
      <c r="AM18" s="284">
        <f>IF(ISNUMBER(((NºAsuntos!I18/NºAsuntos!G18)*11)/factor_trimestre),((NºAsuntos!I18/NºAsuntos!G18)*11)/factor_trimestre," - ")</f>
        <v>2.1253263707571799</v>
      </c>
      <c r="AN18" s="267">
        <f>IF(ISNUMBER('Resol  Asuntos'!D18/NºAsuntos!G18),'Resol  Asuntos'!D18/NºAsuntos!G18," - ")</f>
        <v>0.18146214099216709</v>
      </c>
      <c r="AO18" s="268">
        <f>IF(ISNUMBER((NºAsuntos!C18+NºAsuntos!E18)/NºAsuntos!G18),(NºAsuntos!C18+NºAsuntos!E18)/NºAsuntos!G18," - ")</f>
        <v>1.1892950391644908</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7</v>
      </c>
      <c r="F23" s="1162">
        <f>SUBTOTAL(9,F15:F22)</f>
        <v>2366</v>
      </c>
      <c r="G23" s="1163">
        <f>SUBTOTAL(9,G16:G22)</f>
        <v>2708</v>
      </c>
      <c r="H23" s="1162">
        <f t="shared" ref="H23:O23" si="13">SUBTOTAL(9,H15:H22)</f>
        <v>0</v>
      </c>
      <c r="I23" s="1164">
        <f t="shared" si="13"/>
        <v>0</v>
      </c>
      <c r="J23" s="1164">
        <f t="shared" si="13"/>
        <v>0</v>
      </c>
      <c r="K23" s="1164">
        <f t="shared" si="13"/>
        <v>0</v>
      </c>
      <c r="L23" s="1164">
        <f t="shared" si="13"/>
        <v>263</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6565</v>
      </c>
      <c r="X23" s="1164">
        <f t="shared" si="14"/>
        <v>216</v>
      </c>
      <c r="Y23" s="1165">
        <f t="shared" si="14"/>
        <v>6781</v>
      </c>
      <c r="Z23" s="1165">
        <f t="shared" si="14"/>
        <v>0</v>
      </c>
      <c r="AA23" s="1165">
        <f t="shared" si="14"/>
        <v>2739</v>
      </c>
      <c r="AB23" s="1165">
        <f t="shared" si="14"/>
        <v>463</v>
      </c>
      <c r="AC23" s="1165">
        <f t="shared" si="14"/>
        <v>3202</v>
      </c>
      <c r="AD23" s="1165">
        <f t="shared" si="14"/>
        <v>0</v>
      </c>
      <c r="AE23" s="1169">
        <f t="shared" si="14"/>
        <v>0</v>
      </c>
      <c r="AF23" s="1162">
        <f t="shared" si="14"/>
        <v>0</v>
      </c>
      <c r="AG23" s="1170">
        <f t="shared" si="14"/>
        <v>0</v>
      </c>
      <c r="AH23" s="1167">
        <f t="shared" si="14"/>
        <v>0</v>
      </c>
      <c r="AI23" s="1162">
        <f t="shared" si="14"/>
        <v>1028</v>
      </c>
      <c r="AJ23" s="1164">
        <f t="shared" si="14"/>
        <v>0</v>
      </c>
      <c r="AK23" s="1167">
        <f t="shared" si="14"/>
        <v>0</v>
      </c>
      <c r="AL23" s="1171">
        <f>IF(ISNUMBER(NºAsuntos!G23/NºAsuntos!E23),NºAsuntos!G23/NºAsuntos!E23," - ")</f>
        <v>0.97678916827853002</v>
      </c>
      <c r="AM23" s="1171">
        <f>IF(ISNUMBER(((NºAsuntos!I23/NºAsuntos!G23)*11)/factor_trimestre),((NºAsuntos!I23/NºAsuntos!G23)*11)/factor_trimestre," - ")</f>
        <v>4.5893373952779895</v>
      </c>
      <c r="AN23" s="1172">
        <f>IF(ISNUMBER('Resol  Asuntos'!D23/NºAsuntos!G23),'Resol  Asuntos'!D23/NºAsuntos!G23," - ")</f>
        <v>0.15658796648895659</v>
      </c>
      <c r="AO23" s="1173">
        <f>IF(ISNUMBER((NºAsuntos!C23+NºAsuntos!E23)/NºAsuntos!G23),(NºAsuntos!C23+NºAsuntos!E23)/NºAsuntos!G23," - ")</f>
        <v>1.4362528560548362</v>
      </c>
      <c r="AP23" s="1174" t="str">
        <f t="shared" si="2"/>
        <v xml:space="preserve"> - </v>
      </c>
      <c r="AQ23" s="1174">
        <f>IF(ISNUMBER((H23-W23+K23)/(F23)),(H23-W23+K23)/(F23)," - ")</f>
        <v>-2.7747252747252746</v>
      </c>
      <c r="AR23" s="1175">
        <f>IF(ISNUMBER((Datos!P23-Datos!Q23)/(Datos!R23-Datos!P23+Datos!Q23)),(Datos!P23-Datos!Q23)/(Datos!R23-Datos!P23+Datos!Q23)," - ")</f>
        <v>0.11298076923076923</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14</v>
      </c>
      <c r="F31" s="1117">
        <f t="shared" si="20"/>
        <v>2456</v>
      </c>
      <c r="G31" s="1118">
        <f t="shared" si="20"/>
        <v>2798</v>
      </c>
      <c r="H31" s="1117">
        <f t="shared" si="20"/>
        <v>0</v>
      </c>
      <c r="I31" s="1119">
        <f t="shared" si="20"/>
        <v>0</v>
      </c>
      <c r="J31" s="1119">
        <f t="shared" si="20"/>
        <v>0</v>
      </c>
      <c r="K31" s="1180">
        <f t="shared" si="20"/>
        <v>0</v>
      </c>
      <c r="L31" s="1119">
        <f t="shared" si="20"/>
        <v>1633</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6617</v>
      </c>
      <c r="X31" s="1118">
        <f t="shared" si="21"/>
        <v>1901</v>
      </c>
      <c r="Y31" s="1125">
        <f t="shared" si="21"/>
        <v>8518</v>
      </c>
      <c r="Z31" s="1125">
        <f t="shared" si="21"/>
        <v>0</v>
      </c>
      <c r="AA31" s="1125">
        <f t="shared" si="21"/>
        <v>2842</v>
      </c>
      <c r="AB31" s="1125">
        <f t="shared" si="21"/>
        <v>7030</v>
      </c>
      <c r="AC31" s="1125">
        <f t="shared" si="21"/>
        <v>3330</v>
      </c>
      <c r="AD31" s="1125">
        <f t="shared" si="21"/>
        <v>0</v>
      </c>
      <c r="AE31" s="1127">
        <f t="shared" si="21"/>
        <v>0</v>
      </c>
      <c r="AF31" s="1128">
        <f t="shared" si="21"/>
        <v>0</v>
      </c>
      <c r="AG31" s="1129">
        <f t="shared" si="21"/>
        <v>0</v>
      </c>
      <c r="AH31" s="1127">
        <f t="shared" si="21"/>
        <v>0</v>
      </c>
      <c r="AI31" s="1117">
        <f t="shared" si="21"/>
        <v>2141</v>
      </c>
      <c r="AJ31" s="1117">
        <f t="shared" si="21"/>
        <v>0</v>
      </c>
      <c r="AK31" s="1127">
        <f t="shared" si="21"/>
        <v>0</v>
      </c>
      <c r="AL31" s="1183">
        <f>IF(ISNUMBER(NºAsuntos!G31/NºAsuntos!E31),NºAsuntos!G31/NºAsuntos!E31," - ")</f>
        <v>0.91346609767662401</v>
      </c>
      <c r="AM31" s="1184">
        <f>IF(ISNUMBER(((NºAsuntos!I31/NºAsuntos!G31)*11)/factor_trimestre),((NºAsuntos!I31/NºAsuntos!G31)*11)/factor_trimestre," - ")</f>
        <v>7.3999480923955359</v>
      </c>
      <c r="AN31" s="1184">
        <f>IF(ISNUMBER('Resol  Asuntos'!D31/NºAsuntos!G31),'Resol  Asuntos'!D31/NºAsuntos!G31," - ")</f>
        <v>0.18522363526256597</v>
      </c>
      <c r="AO31" s="1185">
        <f>IF(ISNUMBER((NºAsuntos!C31+NºAsuntos!E31)/NºAsuntos!G31),(NºAsuntos!C31+NºAsuntos!E31)/NºAsuntos!G31," - ")</f>
        <v>1.6982437927156329</v>
      </c>
      <c r="AP31" s="1186" t="str">
        <f t="shared" si="2"/>
        <v xml:space="preserve"> - </v>
      </c>
      <c r="AQ31" s="1187">
        <f>IF(OR(ISNUMBER(FIND("01",Criterios!A8,1)),ISNUMBER(FIND("02",Criterios!A8,1)),ISNUMBER(FIND("03",Criterios!A8,1)),ISNUMBER(FIND("04",Criterios!A8,1))),(I31-W31+K31)/(F31-K31),(H31-W31+K31)/(F31-K31))</f>
        <v>-2.6942182410423454</v>
      </c>
      <c r="AR31" s="1188">
        <f>IF(ISNUMBER((Datos!P31-Datos!Q31)/(Datos!R31-Datos!P31+Datos!Q31)),(Datos!P31-Datos!Q31)/(Datos!R31-Datos!P31+Datos!Q31)," - ")</f>
        <v>-3.6722389695807073E-2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799.42857142857144</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2.9319773580418684</v>
      </c>
      <c r="F33" s="276">
        <f>IF(ISNUMBER(STDEV(F8:F30)),STDEV(F8:F30),"-")</f>
        <v>1199.2348671826828</v>
      </c>
      <c r="G33" s="277">
        <f>IF(ISNUMBER(STDEV(G8:G30)),STDEV(G8:G30),"-")</f>
        <v>1234.3482567928791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2952.3992422628558</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532.50613678556397</v>
      </c>
      <c r="AJ33" s="276">
        <f t="shared" si="25"/>
        <v>0</v>
      </c>
      <c r="AK33" s="278">
        <f t="shared" si="25"/>
        <v>0</v>
      </c>
      <c r="AL33" s="273">
        <f t="shared" si="25"/>
        <v>0.1128378558548801</v>
      </c>
      <c r="AM33" s="274">
        <f t="shared" si="25"/>
        <v>7.1399309991795707</v>
      </c>
      <c r="AN33" s="274">
        <f t="shared" si="25"/>
        <v>0.16979627986409931</v>
      </c>
      <c r="AO33" s="275">
        <f t="shared" si="25"/>
        <v>0.6483378532702182</v>
      </c>
      <c r="AP33" s="317" t="str">
        <f t="shared" si="25"/>
        <v>-</v>
      </c>
      <c r="AQ33" s="318">
        <f t="shared" si="25"/>
        <v>1.5534764730023873</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ii9OLi3jOp/XTVWZgnnkPStOD2r8VS91c2jcqm7674gagj6L6tBiykUpVdqC+aobY1RZV3/DDJOEELz7HUl9og==" saltValue="8LUXflTRpNndny6J1j/rL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SAN JAVIER</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-6.25E-2</v>
      </c>
      <c r="E10" s="393">
        <f>IF(ISNUMBER((Datos!J10-Datos!T10)/Datos!T10),(Datos!J10-Datos!T10)/Datos!T10," - ")</f>
        <v>-0.22619047619047619</v>
      </c>
      <c r="F10" s="393">
        <f>IF(ISNUMBER((Datos!K10-Datos!U10)/Datos!U10),(Datos!K10-Datos!U10)/Datos!U10," - ")</f>
        <v>-0.42857142857142855</v>
      </c>
      <c r="G10" s="394">
        <f>IF(ISNUMBER((Datos!L10-Datos!V10)/Datos!V10),(Datos!L10-Datos!V10)/Datos!V10," - ")</f>
        <v>0.14444444444444443</v>
      </c>
      <c r="H10" s="244">
        <f>IF(ISNUMBER((Datos!M10-Datos!W10)/Datos!W10),(Datos!M10-Datos!W10)/Datos!W10," - ")</f>
        <v>-0.22500000000000001</v>
      </c>
      <c r="I10" s="395">
        <f>IF(ISNUMBER((Tasas!C10-Datos!BE10)/Datos!BE10),(Tasas!C10-Datos!BE10)/Datos!BE10," - ")</f>
        <v>1.0027777777777778</v>
      </c>
      <c r="J10" s="394">
        <f>IF(ISNUMBER((Tasas!D10-Datos!BF10)/Datos!BF10),(Tasas!D10-Datos!BF10)/Datos!BF10," - ")</f>
        <v>0.35625000000000001</v>
      </c>
      <c r="K10" s="396">
        <f>IF(ISNUMBER((Tasas!E10-Datos!BG10)/Datos!BG10),(Tasas!E10-Datos!BG10)/Datos!BG10," - ")</f>
        <v>0.50694444444444442</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-8.2493125572868919E-3</v>
      </c>
      <c r="I12" s="395">
        <f>IF(ISNUMBER((Tasas!C12-Datos!BE12)/Datos!BE12),(Tasas!C12-Datos!BE12)/Datos!BE12," - ")</f>
        <v>0.21153489622754648</v>
      </c>
      <c r="J12" s="394">
        <f>IF(ISNUMBER((Tasas!D12-Datos!BF12)/Datos!BF12),(Tasas!D12-Datos!BF12)/Datos!BF12," - ")</f>
        <v>-0.3620550105360108</v>
      </c>
      <c r="K12" s="396">
        <f>IF(ISNUMBER((Tasas!E12-Datos!BG12)/Datos!BG12),(Tasas!E12-Datos!BG12)/Datos!BG12," - ")</f>
        <v>0.10676502063107296</v>
      </c>
      <c r="M12" t="e">
        <f>IF(Monitorios="SI",Datos!CE12,0)</f>
        <v>#REF!</v>
      </c>
      <c r="N12" t="e">
        <f>IF(Monitorios="SI",Datos!CF12,0)</f>
        <v>#REF!</v>
      </c>
      <c r="O12" t="e">
        <f>IF(Monitorios="SI",Datos!CG12,0)</f>
        <v>#REF!</v>
      </c>
      <c r="P12" t="e">
        <f>IF(Monitorios="SI",Datos!CH12,0)</f>
        <v>#REF!</v>
      </c>
      <c r="Q12">
        <f>IF(J_V="SI",0,Datos!AG12)</f>
        <v>173</v>
      </c>
      <c r="R12">
        <f>IF(J_V="SI",0,Datos!AH12)</f>
        <v>348</v>
      </c>
      <c r="S12">
        <f>IF(J_V="SI",0,Datos!AI12)</f>
        <v>326</v>
      </c>
      <c r="T12">
        <f>IF(J_V="SI",0,Datos!AJ12)</f>
        <v>178</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-1.5915119363395226E-2</v>
      </c>
      <c r="I14" s="402">
        <f>IF(ISNUMBER((Tasas!C14-Datos!BE14)/Datos!BE14),(Tasas!C14-Datos!BE14)/Datos!BE14," - ")</f>
        <v>0.21964337523678837</v>
      </c>
      <c r="J14" s="400">
        <f>IF(ISNUMBER((Tasas!D14-Datos!BF14)/Datos!BF14),(Tasas!D14-Datos!BF14)/Datos!BF14," - ")</f>
        <v>-0.35380962773305491</v>
      </c>
      <c r="K14" s="403">
        <f>IF(ISNUMBER((Tasas!E14-Datos!BG14)/Datos!BG14),(Tasas!E14-Datos!BG14)/Datos!BG14," - ")</f>
        <v>0.11063240068444535</v>
      </c>
      <c r="M14" t="e">
        <f>IF(Monitorios="SI",Datos!CE14,0)</f>
        <v>#REF!</v>
      </c>
      <c r="N14" t="e">
        <f>IF(Monitorios="SI",Datos!CF14,0)</f>
        <v>#REF!</v>
      </c>
      <c r="O14" t="e">
        <f>IF(Monitorios="SI",Datos!CG14,0)</f>
        <v>#REF!</v>
      </c>
      <c r="P14" t="e">
        <f>IF(Monitorios="SI",Datos!CH14,0)</f>
        <v>#REF!</v>
      </c>
      <c r="Q14">
        <f>IF(J_V="SI",0,Datos!AG14)</f>
        <v>173</v>
      </c>
      <c r="R14">
        <f>IF(J_V="SI",0,Datos!AH14)</f>
        <v>348</v>
      </c>
      <c r="S14">
        <f>IF(J_V="SI",0,Datos!AI14)</f>
        <v>326</v>
      </c>
      <c r="T14">
        <f>IF(J_V="SI",0,Datos!AJ14)</f>
        <v>178</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-0.21424070573408949</v>
      </c>
      <c r="E17" s="393">
        <f>IF(ISNUMBER(
   IF(D_I="SI",(Datos!J17-Datos!T17)/Datos!T17,(Datos!J17+Datos!AD17-(Datos!T17+Datos!AL17))/(Datos!T17+Datos!AL17))
     ),IF(D_I="SI",(Datos!J17-Datos!T17)/Datos!T17,(Datos!J17+Datos!AD17-(Datos!T17+Datos!AL17))/(Datos!T17+Datos!AL17))," - ")</f>
        <v>4.583333333333333E-2</v>
      </c>
      <c r="F17" s="393">
        <f>IF(ISNUMBER(
   IF(D_I="SI",(Datos!K17-Datos!U17)/Datos!U17,(Datos!K17+Datos!AE17-(Datos!U17+Datos!AM17))/(Datos!U17+Datos!AM17))
     ),IF(D_I="SI",(Datos!K17-Datos!U17)/Datos!U17,(Datos!K17+Datos!AE17-(Datos!U17+Datos!AM17))/(Datos!U17+Datos!AM17))," - ")</f>
        <v>1.1512297226582941E-2</v>
      </c>
      <c r="G17" s="394">
        <f>IF(ISNUMBER(
   IF(D_I="SI",(Datos!L17-Datos!V17)/Datos!V17,(Datos!L17+Datos!AF17-(Datos!V17+Datos!AN17))/(Datos!V17+Datos!AN17))
     ),IF(D_I="SI",(Datos!L17-Datos!V17)/Datos!V17,(Datos!L17+Datos!AF17-(Datos!V17+Datos!AN17))/(Datos!V17+Datos!AN17))," - ")</f>
        <v>3.8893344025661587E-2</v>
      </c>
      <c r="H17" s="244">
        <f>IF(ISNUMBER((Datos!M17-Datos!W17)/Datos!W17),(Datos!M17-Datos!W17)/Datos!W17," - ")</f>
        <v>-5.3248136315228969E-2</v>
      </c>
      <c r="I17" s="395">
        <f>IF(ISNUMBER((Tasas!C17-Datos!BE17)/Datos!BE17),(Tasas!C17-Datos!BE17)/Datos!BE17," - ")</f>
        <v>2.7069415640475464E-2</v>
      </c>
      <c r="J17" s="394">
        <f>IF(ISNUMBER((Tasas!D17-Datos!BF17)/Datos!BF17),(Tasas!D17-Datos!BF17)/Datos!BF17," - ")</f>
        <v>-6.4023377391827591E-2</v>
      </c>
      <c r="K17" s="396">
        <f>IF(ISNUMBER((Tasas!E17-Datos!BG17)/Datos!BG17),(Tasas!E17-Datos!BG17)/Datos!BG17," - ")</f>
        <v>-5.7415007867663438E-2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1.9047619047619049E-2</v>
      </c>
      <c r="E18" s="393">
        <f>IF(ISNUMBER(
   IF(D_I="SI",(Datos!J18-Datos!T18)/Datos!T18,(Datos!J18+Datos!AD18-(Datos!T18+Datos!AL18))/(Datos!T18+Datos!AL18))
     ),IF(D_I="SI",(Datos!J18-Datos!T18)/Datos!T18,(Datos!J18+Datos!AD18-(Datos!T18+Datos!AL18))/(Datos!T18+Datos!AL18))," - ")</f>
        <v>1.308139534883721E-2</v>
      </c>
      <c r="F18" s="393">
        <f>IF(ISNUMBER(
   IF(D_I="SI",(Datos!K18-Datos!U18)/Datos!U18,(Datos!K18+Datos!AE18-(Datos!U18+Datos!AM18))/(Datos!U18+Datos!AM18))
     ),IF(D_I="SI",(Datos!K18-Datos!U18)/Datos!U18,(Datos!K18+Datos!AE18-(Datos!U18+Datos!AM18))/(Datos!U18+Datos!AM18))," - ")</f>
        <v>0.11014492753623188</v>
      </c>
      <c r="G18" s="394">
        <f>IF(ISNUMBER(
   IF(D_I="SI",(Datos!L18-Datos!V18)/Datos!V18,(Datos!L18+Datos!AF18-(Datos!V18+Datos!AN18))/(Datos!V18+Datos!AN18))
     ),IF(D_I="SI",(Datos!L18-Datos!V18)/Datos!V18,(Datos!L18+Datos!AF18-(Datos!V18+Datos!AN18))/(Datos!V18+Datos!AN18))," - ")</f>
        <v>-0.30841121495327101</v>
      </c>
      <c r="H18" s="244">
        <f>IF(ISNUMBER((Datos!M18-Datos!W18)/Datos!W18),(Datos!M18-Datos!W18)/Datos!W18," - ")</f>
        <v>-0.10897435897435898</v>
      </c>
      <c r="I18" s="395">
        <f>IF(ISNUMBER((Tasas!C18-Datos!BE18)/Datos!BE18),(Tasas!C18-Datos!BE18)/Datos!BE18," - ")</f>
        <v>-0.37702837900490477</v>
      </c>
      <c r="J18" s="394">
        <f>IF(ISNUMBER((Tasas!D18-Datos!BF18)/Datos!BF18),(Tasas!D18-Datos!BF18)/Datos!BF18," - ")</f>
        <v>-0.19737899176541479</v>
      </c>
      <c r="K18" s="396">
        <f>IF(ISNUMBER((Tasas!E18-Datos!BG18)/Datos!BG18),(Tasas!E18-Datos!BG18)/Datos!BG18," - ")</f>
        <v>-8.617641756848704E-2</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-0.19976359338061467</v>
      </c>
      <c r="E23" s="399">
        <f>IF(ISNUMBER(
   IF(D_I="SI",(Datos!J23-Datos!T23)/Datos!T23,(Datos!J23+Datos!AD23-(Datos!T23+Datos!AL23))/(Datos!T23+Datos!AL23))
     ),IF(D_I="SI",(Datos!J23-Datos!T23)/Datos!T23,(Datos!J23+Datos!AD23-(Datos!T23+Datos!AL23))/(Datos!T23+Datos!AL23))," - ")</f>
        <v>4.2338709677419352E-2</v>
      </c>
      <c r="F23" s="399">
        <f>IF(ISNUMBER(
   IF(D_I="SI",(Datos!K23-Datos!U23)/Datos!U23,(Datos!K23+Datos!AE23-(Datos!U23+Datos!AM23))/(Datos!U23+Datos!AM23))
     ),IF(D_I="SI",(Datos!K23-Datos!U23)/Datos!U23,(Datos!K23+Datos!AE23-(Datos!U23+Datos!AM23))/(Datos!U23+Datos!AM23))," - ")</f>
        <v>2.210804919819399E-2</v>
      </c>
      <c r="G23" s="400">
        <f>IF(ISNUMBER(
   IF(D_I="SI",(Datos!L23-Datos!V23)/Datos!V23,(Datos!L23+Datos!AF23-(Datos!V23+Datos!AN23))/(Datos!V23+Datos!AN23))
     ),IF(D_I="SI",(Datos!L23-Datos!V23)/Datos!V23,(Datos!L23+Datos!AF23-(Datos!V23+Datos!AN23))/(Datos!V23+Datos!AN23))," - ")</f>
        <v>1.1447562776957163E-2</v>
      </c>
      <c r="H23" s="401">
        <f>IF(ISNUMBER((Datos!M23-Datos!W23)/Datos!W23),(Datos!M23-Datos!W23)/Datos!W23," - ")</f>
        <v>-6.1187214611872147E-2</v>
      </c>
      <c r="I23" s="402">
        <f>IF(ISNUMBER((Tasas!C23-Datos!BE23)/Datos!BE23),(Tasas!C23-Datos!BE23)/Datos!BE23," - ")</f>
        <v>-1.042990164259004E-2</v>
      </c>
      <c r="J23" s="400">
        <f>IF(ISNUMBER((Tasas!D23-Datos!BF23)/Datos!BF23),(Tasas!D23-Datos!BF23)/Datos!BF23," - ")</f>
        <v>-8.1493599307243578E-2</v>
      </c>
      <c r="K23" s="403">
        <f>IF(ISNUMBER((Tasas!E23-Datos!BG23)/Datos!BG23),(Tasas!E23-Datos!BG23)/Datos!BG23," - ")</f>
        <v>-6.1731886244892883E-2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-8.9295039164490858E-2</v>
      </c>
      <c r="E31" s="409">
        <f>IF(ISNUMBER(
   IF(J_V="SI",(Datos!J31-Datos!T31)/Datos!T31,(Datos!J31+Datos!Z31-(Datos!T31+Datos!AH31))/(Datos!T31+Datos!AH31))
     ),IF(J_V="SI",(Datos!J31-Datos!T31)/Datos!T31,(Datos!J31+Datos!Z31-(Datos!T31+Datos!AH31))/(Datos!T31+Datos!AH31))," - ")</f>
        <v>8.4876543209876545E-2</v>
      </c>
      <c r="F31" s="409">
        <f>IF(ISNUMBER(
   IF(J_V="SI",(Datos!K31-Datos!U31)/Datos!U31,(Datos!K31+Datos!AA31-(Datos!U31+Datos!AI31))/(Datos!U31+Datos!AI31))
     ),IF(J_V="SI",(Datos!K31-Datos!U31)/Datos!U31,(Datos!K31+Datos!AA31-(Datos!U31+Datos!AI31))/(Datos!U31+Datos!AI31))," - ")</f>
        <v>-2.1581491712707184E-3</v>
      </c>
      <c r="G31" s="410">
        <f>IF(ISNUMBER(
   IF(J_V="SI",(Datos!L31-Datos!V31)/Datos!V31,(Datos!L31+Datos!AB31-(Datos!V31+Datos!AJ31))/(Datos!V31+Datos!AJ31))
     ),IF(J_V="SI",(Datos!L31-Datos!V31)/Datos!V31,(Datos!L31+Datos!AB31-(Datos!V31+Datos!AJ31))/(Datos!V31+Datos!AJ31))," - ")</f>
        <v>0.11467889908256881</v>
      </c>
      <c r="H31" s="411">
        <f>IF(ISNUMBER((Datos!M31-Datos!W31)/Datos!W31),(Datos!M31-Datos!W31)/Datos!W31," - ")</f>
        <v>-3.8185085354896675E-2</v>
      </c>
      <c r="I31" s="408">
        <f>IF(ISNUMBER((Tasas!C31-Datos!BE31)/Datos!BE31),(Tasas!C31-Datos!BE31)/Datos!BE31," - ")</f>
        <v>0.11708974539081893</v>
      </c>
      <c r="J31" s="409">
        <f>IF(ISNUMBER((Tasas!D31-Datos!BF31)/Datos!BF31),(Tasas!D31-Datos!BF31)/Datos!BF31," - ")</f>
        <v>-0.25369370751945591</v>
      </c>
      <c r="K31" s="410">
        <f>IF(ISNUMBER((Tasas!E31-Datos!BG31)/Datos!BG31),(Tasas!E31-Datos!BG31)/Datos!BG31," - ")</f>
        <v>1.8032296357787785E-2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0.11218583019653838</v>
      </c>
      <c r="E33" s="303">
        <f t="shared" si="1"/>
        <v>0.13079780751176112</v>
      </c>
      <c r="F33" s="303">
        <f t="shared" si="1"/>
        <v>0.24231387142196806</v>
      </c>
      <c r="G33" s="304">
        <f t="shared" si="1"/>
        <v>0.19527562121021177</v>
      </c>
      <c r="H33" s="310">
        <f t="shared" si="1"/>
        <v>8.0224608563383079E-2</v>
      </c>
      <c r="I33" s="302">
        <f t="shared" si="1"/>
        <v>0.45813848293306647</v>
      </c>
      <c r="J33" s="303">
        <f t="shared" si="1"/>
        <v>0.26481098405202691</v>
      </c>
      <c r="K33" s="304">
        <f t="shared" si="1"/>
        <v>0.22372659269937009</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dUxn4fLPuzp2MG7Typ/8jZ99irZju/1jaNZj96NP0Fb3khJz+OL27cA+iUM5AoiLMhHz1mnV4RA3SV04P6O36A==" saltValue="SNS8qPH7M3hBxMSVJ9fNcg=="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90</v>
      </c>
      <c r="D10" s="239">
        <f>IF(ISNUMBER(Datos!I10),Datos!I10," - ")</f>
        <v>90</v>
      </c>
      <c r="E10" s="240">
        <f>IF(ISNUMBER(Datos!J10),Datos!J10," - ")</f>
        <v>65</v>
      </c>
      <c r="F10" s="240">
        <f>IF(ISNUMBER(Datos!K10),Datos!K10," - ")</f>
        <v>52</v>
      </c>
      <c r="G10" s="1390" t="str">
        <f>IF(Datos!E10&lt;&gt;"",Datos!E10,Datos!D10)</f>
        <v>37</v>
      </c>
      <c r="H10" s="241">
        <f>IF(ISNUMBER(Datos!L10),Datos!L10," - ")</f>
        <v>103</v>
      </c>
      <c r="I10" s="1400" t="str">
        <f>IF(ISNUMBER(Datos!AS10/Datos!BM10),Datos!AS10/Datos!BM10," - ")</f>
        <v xml:space="preserve"> - </v>
      </c>
      <c r="J10" s="1401">
        <f>IF(ISNUMBER(Datos!BY10/Datos!CN10),Datos!BY10/Datos!CN10," - ")</f>
        <v>0</v>
      </c>
      <c r="K10" s="244">
        <f t="shared" ref="K10:K13" si="1">IF(ISNUMBER((E10-F10)/C10),(E10-F10)/C10," - ")</f>
        <v>0.14444444444444443</v>
      </c>
      <c r="L10" s="1402">
        <f>IF(ISNUMBER(NºAsuntos!I10/NºAsuntos!G10),(NºAsuntos!I10/NºAsuntos!G10)*11," - ")</f>
        <v>21.78846153846154</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7</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10.982193443949818</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90</v>
      </c>
      <c r="D14" s="1407">
        <f>SUBTOTAL(9,D9:D13)</f>
        <v>90</v>
      </c>
      <c r="E14" s="1408">
        <f>SUBTOTAL(9,E9:E13)</f>
        <v>65</v>
      </c>
      <c r="F14" s="1409">
        <f>SUBTOTAL(9,F9:F13)</f>
        <v>52</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7</v>
      </c>
      <c r="B17" s="1461" t="str">
        <f>Datos!A17</f>
        <v xml:space="preserve">Jdos. 1ª Instª. e Instr.                        </v>
      </c>
      <c r="C17" s="239">
        <f t="shared" si="2"/>
        <v>2366</v>
      </c>
      <c r="D17" s="239">
        <f>IF(ISNUMBER(IF(D_I="SI",Datos!I17,Datos!I17+Datos!AC17)),IF(D_I="SI",Datos!I17,Datos!I17+Datos!AC17)," - ")</f>
        <v>2494</v>
      </c>
      <c r="E17" s="240">
        <f>IF(ISNUMBER(IF(D_I="SI",Datos!J17,Datos!J17+Datos!AD17)),IF(D_I="SI",Datos!J17,Datos!J17+Datos!AD17)," - ")</f>
        <v>6024</v>
      </c>
      <c r="F17" s="240">
        <f>IF(ISNUMBER(IF(D_I="SI",Datos!K17,Datos!K17+Datos!AE17)),IF(D_I="SI",Datos!K17,Datos!K17+Datos!AE17)," - ")</f>
        <v>5799</v>
      </c>
      <c r="G17" s="1390" t="str">
        <f>IF(Datos!E17&lt;&gt;"",Datos!E17,Datos!D17)</f>
        <v>04</v>
      </c>
      <c r="H17" s="241">
        <f>IF(ISNUMBER(IF(D_I="SI",Datos!L17,Datos!L17+Datos!AF17)),IF(D_I="SI",Datos!L17,Datos!L17+Datos!AF17)," - ")</f>
        <v>2591</v>
      </c>
      <c r="I17" s="1400" t="str">
        <f>IF(ISNUMBER(Datos!AS17/Datos!BM17),Datos!AS17/Datos!BM17," - ")</f>
        <v xml:space="preserve"> - </v>
      </c>
      <c r="J17" s="1401">
        <f>IF(ISNUMBER(Datos!BY17/Datos!CN17),Datos!BY17/Datos!CN17," - ")</f>
        <v>0</v>
      </c>
      <c r="K17" s="244">
        <f t="shared" si="3"/>
        <v>9.5097210481825872E-2</v>
      </c>
      <c r="L17" s="1402">
        <f>IF(ISNUMBER(NºAsuntos!I17/NºAsuntos!G17),(NºAsuntos!I17/NºAsuntos!G17)*11," - ")</f>
        <v>4.9148128987756508</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217</v>
      </c>
      <c r="D18" s="239">
        <f>IF(ISNUMBER(IF(D_I="SI",Datos!I18,Datos!I18+Datos!AC18)),IF(D_I="SI",Datos!I18,Datos!I18+Datos!AC18)," - ")</f>
        <v>214</v>
      </c>
      <c r="E18" s="240">
        <f>IF(ISNUMBER(IF(D_I="SI",Datos!J18,Datos!J18+Datos!AD18)),IF(D_I="SI",Datos!J18,Datos!J18+Datos!AD18)," - ")</f>
        <v>697</v>
      </c>
      <c r="F18" s="240">
        <f>IF(ISNUMBER(IF(D_I="SI",Datos!K18,Datos!K18+Datos!AE18)),IF(D_I="SI",Datos!K18,Datos!K18+Datos!AE18)," - ")</f>
        <v>766</v>
      </c>
      <c r="G18" s="1390" t="str">
        <f>IF(Datos!E18&lt;&gt;"",Datos!E18,Datos!D18)</f>
        <v>37</v>
      </c>
      <c r="H18" s="241">
        <f>IF(ISNUMBER(IF(D_I="SI",Datos!L18,Datos!L18+Datos!AF18)),IF(D_I="SI",Datos!L18,Datos!L18+Datos!AF18)," - ")</f>
        <v>148</v>
      </c>
      <c r="I18" s="1400" t="str">
        <f>IF(ISNUMBER(Datos!AS18/Datos!BM18),Datos!AS18/Datos!BM18," - ")</f>
        <v xml:space="preserve"> - </v>
      </c>
      <c r="J18" s="1401" t="str">
        <f>IF(ISNUMBER((Datos!BY18+Datos!BZ18)/Datos!CN18),(Datos!BY18+Datos!BZ18)/Datos!CN18," - ")</f>
        <v xml:space="preserve"> - </v>
      </c>
      <c r="K18" s="244">
        <f t="shared" si="3"/>
        <v>-0.31797235023041476</v>
      </c>
      <c r="L18" s="1402">
        <f>IF(ISNUMBER(NºAsuntos!I18/NºAsuntos!G18),(NºAsuntos!I18/NºAsuntos!G18)*11," - ")</f>
        <v>2.1253263707571799</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2583</v>
      </c>
      <c r="D23" s="1407">
        <f>SUBTOTAL(9,D16:D22)</f>
        <v>2708</v>
      </c>
      <c r="E23" s="1408">
        <f>SUBTOTAL(9,E16:E22)</f>
        <v>6721</v>
      </c>
      <c r="F23" s="1408">
        <f>SUBTOTAL(9,F16:F22)</f>
        <v>6565</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2673</v>
      </c>
      <c r="D31" s="1435">
        <f>SUBTOTAL(9,D9:D30)</f>
        <v>2798</v>
      </c>
      <c r="E31" s="1436">
        <f>SUBTOTAL(9,E9:E30)</f>
        <v>6786</v>
      </c>
      <c r="F31" s="1436">
        <f>SUBTOTAL(9,F9:F30)</f>
        <v>6617</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SC2Z0GS759URwaz9enyTOGlcttgUvApgeeM6JmIjOxLE2Jp9S5wBFWbgKot+OcZqDN7FjTMgn/t8VT8TLjGLqQ==" saltValue="p2k6cXnpH1zQEFK46UnHqg=="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ffWLBw+HtddwtT2jSeKKe3CpA37tSJXucM17U9BHRrexzteWwctsDUmE0uq29yXzwDDDhVB2kDVi+c3j9PulpQ==" saltValue="ml/1PsKKUCfSNN+uqqS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t="s">
        <v>1086</v>
      </c>
      <c r="J9" s="194" t="s">
        <v>1073</v>
      </c>
      <c r="K9" s="194" t="s">
        <v>1149</v>
      </c>
      <c r="L9" s="194" t="s">
        <v>1091</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90</v>
      </c>
      <c r="J10" s="194">
        <v>65</v>
      </c>
      <c r="K10" s="194">
        <v>52</v>
      </c>
      <c r="L10" s="194">
        <v>103</v>
      </c>
      <c r="M10" s="194">
        <v>31</v>
      </c>
      <c r="N10" s="194">
        <v>11</v>
      </c>
      <c r="O10" s="194">
        <v>11</v>
      </c>
      <c r="P10" s="194">
        <v>10</v>
      </c>
      <c r="Q10" s="194">
        <v>10</v>
      </c>
      <c r="R10" s="194">
        <v>25</v>
      </c>
      <c r="S10" s="194">
        <v>96</v>
      </c>
      <c r="T10" s="194">
        <v>84</v>
      </c>
      <c r="U10" s="194">
        <v>91</v>
      </c>
      <c r="V10" s="194">
        <v>90</v>
      </c>
      <c r="W10" s="194">
        <v>40</v>
      </c>
      <c r="X10" s="201">
        <v>13</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96</v>
      </c>
      <c r="AZ10" s="139">
        <f t="shared" si="0"/>
        <v>84</v>
      </c>
      <c r="BA10" s="139">
        <f t="shared" si="0"/>
        <v>91</v>
      </c>
      <c r="BB10" s="139">
        <f t="shared" si="0"/>
        <v>90</v>
      </c>
      <c r="BC10" s="135">
        <f t="shared" si="0"/>
        <v>40</v>
      </c>
      <c r="BD10" s="136">
        <f>IF(ISNUMBER(BA10/AZ10),BA10/AZ10," - ")</f>
        <v>1.0833333333333333</v>
      </c>
      <c r="BE10" s="137">
        <f>IF(ISNUMBER(BB10/BA10),BB10/BA10, " - ")</f>
        <v>0.98901098901098905</v>
      </c>
      <c r="BF10" s="137">
        <f>IF(ISNUMBER(BC10/BA10),BC10/BA10, " - ")</f>
        <v>0.43956043956043955</v>
      </c>
      <c r="BG10" s="209">
        <f>IF(ISNUMBER((AY10+AZ10)/BA10),(AY10+AZ10)/BA10," - ")</f>
        <v>1.9780219780219781</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1086</v>
      </c>
      <c r="J11" s="196" t="s">
        <v>1073</v>
      </c>
      <c r="K11" s="196" t="s">
        <v>1149</v>
      </c>
      <c r="L11" s="196" t="s">
        <v>1091</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4000</v>
      </c>
      <c r="J12" s="196">
        <v>5435</v>
      </c>
      <c r="K12" s="196">
        <v>4550</v>
      </c>
      <c r="L12" s="196">
        <v>4754</v>
      </c>
      <c r="M12" s="196">
        <v>1082</v>
      </c>
      <c r="N12" s="196">
        <v>1679</v>
      </c>
      <c r="O12" s="194">
        <v>2848</v>
      </c>
      <c r="P12" s="196">
        <v>1360</v>
      </c>
      <c r="Q12" s="196">
        <v>1675</v>
      </c>
      <c r="R12" s="196">
        <v>6542</v>
      </c>
      <c r="S12" s="196">
        <v>4007</v>
      </c>
      <c r="T12" s="196">
        <v>4784</v>
      </c>
      <c r="U12" s="196">
        <v>4744</v>
      </c>
      <c r="V12" s="196">
        <v>4000</v>
      </c>
      <c r="W12" s="196">
        <v>1091</v>
      </c>
      <c r="X12" s="202">
        <v>1740</v>
      </c>
      <c r="Y12" s="204">
        <v>178</v>
      </c>
      <c r="Z12" s="194">
        <v>433</v>
      </c>
      <c r="AA12" s="194">
        <v>392</v>
      </c>
      <c r="AB12" s="194">
        <v>180</v>
      </c>
      <c r="AC12" s="196">
        <v>0</v>
      </c>
      <c r="AD12" s="196">
        <v>0</v>
      </c>
      <c r="AE12" s="196">
        <v>0</v>
      </c>
      <c r="AF12" s="202">
        <v>0</v>
      </c>
      <c r="AG12" s="215">
        <v>173</v>
      </c>
      <c r="AH12" s="196">
        <v>348</v>
      </c>
      <c r="AI12" s="196">
        <v>326</v>
      </c>
      <c r="AJ12" s="216">
        <v>178</v>
      </c>
      <c r="AK12" s="195">
        <v>0</v>
      </c>
      <c r="AL12" s="196">
        <v>0</v>
      </c>
      <c r="AM12" s="196">
        <v>0</v>
      </c>
      <c r="AN12" s="202">
        <v>0</v>
      </c>
      <c r="AO12" s="283">
        <v>7</v>
      </c>
      <c r="AP12" s="168">
        <v>7</v>
      </c>
      <c r="AQ12" s="168">
        <v>7</v>
      </c>
      <c r="AR12" s="167">
        <v>7</v>
      </c>
      <c r="AS12" s="381" t="s">
        <v>1075</v>
      </c>
      <c r="AT12" s="216"/>
      <c r="AU12" s="215"/>
      <c r="AV12" s="216"/>
      <c r="AW12" s="215"/>
      <c r="AX12" s="216"/>
      <c r="AY12" s="136">
        <f t="shared" si="1"/>
        <v>4180</v>
      </c>
      <c r="AZ12" s="137">
        <f t="shared" si="1"/>
        <v>5132</v>
      </c>
      <c r="BA12" s="137">
        <f t="shared" si="1"/>
        <v>5070</v>
      </c>
      <c r="BB12" s="137">
        <f t="shared" si="1"/>
        <v>4178</v>
      </c>
      <c r="BC12" s="135">
        <f>IF(ISNUMBER(X12),X12," - ")</f>
        <v>1740</v>
      </c>
      <c r="BD12" s="136">
        <f t="shared" si="2"/>
        <v>0.98791893998441149</v>
      </c>
      <c r="BE12" s="137">
        <f t="shared" si="3"/>
        <v>0.82406311637080865</v>
      </c>
      <c r="BF12" s="137">
        <f t="shared" si="4"/>
        <v>0.34319526627218933</v>
      </c>
      <c r="BG12" s="209">
        <f t="shared" si="5"/>
        <v>1.8366863905325443</v>
      </c>
      <c r="BH12" s="168">
        <v>7</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4090</v>
      </c>
      <c r="J14" s="197">
        <f t="shared" si="7"/>
        <v>5500</v>
      </c>
      <c r="K14" s="197">
        <f t="shared" si="7"/>
        <v>4602</v>
      </c>
      <c r="L14" s="197">
        <f t="shared" si="7"/>
        <v>4857</v>
      </c>
      <c r="M14" s="197">
        <f t="shared" si="7"/>
        <v>1113</v>
      </c>
      <c r="N14" s="197">
        <f t="shared" si="7"/>
        <v>1690</v>
      </c>
      <c r="O14" s="197">
        <f t="shared" si="7"/>
        <v>2859</v>
      </c>
      <c r="P14" s="197">
        <f t="shared" si="7"/>
        <v>1370</v>
      </c>
      <c r="Q14" s="197">
        <f t="shared" si="7"/>
        <v>1685</v>
      </c>
      <c r="R14" s="197">
        <f t="shared" si="7"/>
        <v>6567</v>
      </c>
      <c r="S14" s="197">
        <f t="shared" si="7"/>
        <v>4103</v>
      </c>
      <c r="T14" s="197">
        <f t="shared" si="7"/>
        <v>4868</v>
      </c>
      <c r="U14" s="197">
        <f t="shared" si="7"/>
        <v>4835</v>
      </c>
      <c r="V14" s="197">
        <f t="shared" si="7"/>
        <v>4090</v>
      </c>
      <c r="W14" s="197">
        <f t="shared" si="7"/>
        <v>1131</v>
      </c>
      <c r="X14" s="197">
        <f t="shared" si="7"/>
        <v>1753</v>
      </c>
      <c r="Y14" s="197">
        <f t="shared" si="7"/>
        <v>178</v>
      </c>
      <c r="Z14" s="197">
        <f t="shared" si="7"/>
        <v>433</v>
      </c>
      <c r="AA14" s="197">
        <f t="shared" si="7"/>
        <v>392</v>
      </c>
      <c r="AB14" s="197">
        <f t="shared" si="7"/>
        <v>180</v>
      </c>
      <c r="AC14" s="197">
        <f t="shared" si="7"/>
        <v>0</v>
      </c>
      <c r="AD14" s="197">
        <f t="shared" si="7"/>
        <v>0</v>
      </c>
      <c r="AE14" s="197">
        <f t="shared" si="7"/>
        <v>0</v>
      </c>
      <c r="AF14" s="197">
        <f>SUBTOTAL(9,AF9:AF13)</f>
        <v>0</v>
      </c>
      <c r="AG14" s="197">
        <f t="shared" ref="AG14:AT14" si="8">SUBTOTAL(9,AG8:AG13)</f>
        <v>173</v>
      </c>
      <c r="AH14" s="197">
        <f t="shared" si="8"/>
        <v>348</v>
      </c>
      <c r="AI14" s="197">
        <f t="shared" si="8"/>
        <v>326</v>
      </c>
      <c r="AJ14" s="197">
        <f t="shared" si="8"/>
        <v>178</v>
      </c>
      <c r="AK14" s="197">
        <f t="shared" si="8"/>
        <v>0</v>
      </c>
      <c r="AL14" s="197">
        <f t="shared" si="8"/>
        <v>0</v>
      </c>
      <c r="AM14" s="197">
        <f t="shared" si="8"/>
        <v>0</v>
      </c>
      <c r="AN14" s="197">
        <f t="shared" si="8"/>
        <v>0</v>
      </c>
      <c r="AO14" s="197">
        <f t="shared" si="8"/>
        <v>8</v>
      </c>
      <c r="AP14" s="197">
        <f t="shared" si="8"/>
        <v>7</v>
      </c>
      <c r="AQ14" s="197">
        <f t="shared" si="8"/>
        <v>7</v>
      </c>
      <c r="AR14" s="197">
        <f t="shared" si="8"/>
        <v>7</v>
      </c>
      <c r="AS14" s="197">
        <f t="shared" si="8"/>
        <v>0</v>
      </c>
      <c r="AT14" s="197">
        <f t="shared" si="8"/>
        <v>0</v>
      </c>
      <c r="AU14" s="217"/>
      <c r="AV14" s="142"/>
      <c r="AW14" s="217"/>
      <c r="AX14" s="142"/>
      <c r="AY14" s="197">
        <f>SUBTOTAL(9,AY8:AY13)</f>
        <v>4276</v>
      </c>
      <c r="AZ14" s="197">
        <f>SUBTOTAL(9,AZ8:AZ13)</f>
        <v>5216</v>
      </c>
      <c r="BA14" s="197">
        <f>SUBTOTAL(9,BA8:BA13)</f>
        <v>5161</v>
      </c>
      <c r="BB14" s="197">
        <f>SUBTOTAL(9,BB8:BB13)</f>
        <v>4268</v>
      </c>
      <c r="BC14" s="197">
        <f>SUBTOTAL(9,BC8:BC13)</f>
        <v>1780</v>
      </c>
      <c r="BD14" s="219">
        <f>IF(ISNUMBER(BA14/AZ14),BA14/AZ14," - ")</f>
        <v>0.98945552147239269</v>
      </c>
      <c r="BE14" s="220">
        <f>IF(ISNUMBER(BB14/BA14),BB14/BA14, " - ")</f>
        <v>0.82697151714783956</v>
      </c>
      <c r="BF14" s="220">
        <f>IF(ISNUMBER(BC14/BA14),BC14/BA14, " - ")</f>
        <v>0.34489440031001745</v>
      </c>
      <c r="BG14" s="221">
        <f>IF(ISNUMBER((AY14+AZ14)/BA14),(AY14+AZ14)/BA14," - ")</f>
        <v>1.8391784537880256</v>
      </c>
      <c r="BH14" s="153">
        <f>SUBTOTAL(9,BH8:BH13)</f>
        <v>8</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2494</v>
      </c>
      <c r="J17" s="196">
        <v>6024</v>
      </c>
      <c r="K17" s="196">
        <v>5799</v>
      </c>
      <c r="L17" s="196">
        <v>2591</v>
      </c>
      <c r="M17" s="196">
        <v>889</v>
      </c>
      <c r="N17" s="196">
        <v>3520</v>
      </c>
      <c r="O17" s="194">
        <v>62</v>
      </c>
      <c r="P17" s="196">
        <v>235</v>
      </c>
      <c r="Q17" s="196">
        <v>174</v>
      </c>
      <c r="R17" s="196">
        <v>455</v>
      </c>
      <c r="S17" s="196">
        <v>3174</v>
      </c>
      <c r="T17" s="196">
        <v>5760</v>
      </c>
      <c r="U17" s="196">
        <v>5733</v>
      </c>
      <c r="V17" s="196">
        <v>2494</v>
      </c>
      <c r="W17" s="196">
        <v>939</v>
      </c>
      <c r="X17" s="202">
        <v>3393</v>
      </c>
      <c r="Y17" s="215">
        <v>0</v>
      </c>
      <c r="Z17" s="196">
        <v>0</v>
      </c>
      <c r="AA17" s="196">
        <v>0</v>
      </c>
      <c r="AB17" s="196">
        <v>0</v>
      </c>
      <c r="AC17" s="196">
        <v>2</v>
      </c>
      <c r="AD17" s="196">
        <v>74</v>
      </c>
      <c r="AE17" s="196">
        <v>76</v>
      </c>
      <c r="AF17" s="202">
        <v>0</v>
      </c>
      <c r="AG17" s="215">
        <v>0</v>
      </c>
      <c r="AH17" s="196">
        <v>0</v>
      </c>
      <c r="AI17" s="196">
        <v>0</v>
      </c>
      <c r="AJ17" s="216">
        <v>0</v>
      </c>
      <c r="AK17" s="195">
        <v>0</v>
      </c>
      <c r="AL17" s="196">
        <v>62</v>
      </c>
      <c r="AM17" s="196">
        <v>60</v>
      </c>
      <c r="AN17" s="202">
        <v>2</v>
      </c>
      <c r="AO17" s="283">
        <v>7</v>
      </c>
      <c r="AP17" s="168">
        <v>7</v>
      </c>
      <c r="AQ17" s="168">
        <v>7</v>
      </c>
      <c r="AR17" s="168">
        <v>7</v>
      </c>
      <c r="AS17" s="381" t="s">
        <v>650</v>
      </c>
      <c r="AT17" s="216"/>
      <c r="AU17" s="215"/>
      <c r="AV17" s="216"/>
      <c r="AW17" s="215"/>
      <c r="AX17" s="216"/>
      <c r="AY17" s="136">
        <f t="shared" si="10"/>
        <v>3174</v>
      </c>
      <c r="AZ17" s="137">
        <f t="shared" si="10"/>
        <v>5760</v>
      </c>
      <c r="BA17" s="137">
        <f t="shared" si="10"/>
        <v>5733</v>
      </c>
      <c r="BB17" s="137">
        <f t="shared" si="10"/>
        <v>2494</v>
      </c>
      <c r="BC17" s="135">
        <f>IF(ISNUMBER(W17),W17," - ")</f>
        <v>939</v>
      </c>
      <c r="BD17" s="136">
        <f t="shared" ref="BD17:BD22" si="12">IF(ISNUMBER(BA17/AZ17),BA17/AZ17," - ")</f>
        <v>0.99531250000000004</v>
      </c>
      <c r="BE17" s="137">
        <f t="shared" ref="BE17:BE22" si="13">IF(ISNUMBER(BB17/BA17),BB17/BA17, " - ")</f>
        <v>0.43502529216814934</v>
      </c>
      <c r="BF17" s="137">
        <f t="shared" ref="BF17:BF22" si="14">IF(ISNUMBER(BC17/BA17),BC17/BA17, " - ")</f>
        <v>0.16378859236002094</v>
      </c>
      <c r="BG17" s="209">
        <f t="shared" si="11"/>
        <v>1.5583464154892726</v>
      </c>
      <c r="BH17" s="168">
        <v>7</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214</v>
      </c>
      <c r="J18" s="196">
        <v>697</v>
      </c>
      <c r="K18" s="196">
        <v>766</v>
      </c>
      <c r="L18" s="196">
        <v>148</v>
      </c>
      <c r="M18" s="196">
        <v>139</v>
      </c>
      <c r="N18" s="196">
        <v>456</v>
      </c>
      <c r="O18" s="196">
        <v>19</v>
      </c>
      <c r="P18" s="196">
        <v>28</v>
      </c>
      <c r="Q18" s="196">
        <v>42</v>
      </c>
      <c r="R18" s="196">
        <v>8</v>
      </c>
      <c r="S18" s="196">
        <v>210</v>
      </c>
      <c r="T18" s="196">
        <v>688</v>
      </c>
      <c r="U18" s="196">
        <v>690</v>
      </c>
      <c r="V18" s="196">
        <v>214</v>
      </c>
      <c r="W18" s="196">
        <v>156</v>
      </c>
      <c r="X18" s="202">
        <v>358</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210</v>
      </c>
      <c r="AZ18" s="139">
        <f t="shared" si="15"/>
        <v>688</v>
      </c>
      <c r="BA18" s="139">
        <f t="shared" si="15"/>
        <v>690</v>
      </c>
      <c r="BB18" s="139">
        <f t="shared" si="15"/>
        <v>214</v>
      </c>
      <c r="BC18" s="135">
        <f>IF(ISNUMBER(W18),W18," - ")</f>
        <v>156</v>
      </c>
      <c r="BD18" s="136">
        <f>IF(ISNUMBER(BA18/AZ18),BA18/AZ18," - ")</f>
        <v>1.0029069767441861</v>
      </c>
      <c r="BE18" s="137">
        <f>IF(ISNUMBER(BB18/BA18),BB18/BA18, " - ")</f>
        <v>0.31014492753623191</v>
      </c>
      <c r="BF18" s="137">
        <f>IF(ISNUMBER(BC18/BA18),BC18/BA18, " - ")</f>
        <v>0.22608695652173913</v>
      </c>
      <c r="BG18" s="209">
        <f>IF(ISNUMBER((AY18+AZ18)/BA18),(AY18+AZ18)/BA18," - ")</f>
        <v>1.3014492753623188</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2708</v>
      </c>
      <c r="J23" s="197">
        <f t="shared" si="21"/>
        <v>6721</v>
      </c>
      <c r="K23" s="197">
        <f t="shared" si="21"/>
        <v>6565</v>
      </c>
      <c r="L23" s="197">
        <f t="shared" si="21"/>
        <v>2739</v>
      </c>
      <c r="M23" s="197">
        <f t="shared" si="21"/>
        <v>1028</v>
      </c>
      <c r="N23" s="197">
        <f t="shared" si="21"/>
        <v>3976</v>
      </c>
      <c r="O23" s="197">
        <f t="shared" si="21"/>
        <v>81</v>
      </c>
      <c r="P23" s="197">
        <f t="shared" si="21"/>
        <v>263</v>
      </c>
      <c r="Q23" s="197">
        <f t="shared" si="21"/>
        <v>216</v>
      </c>
      <c r="R23" s="197">
        <f t="shared" si="21"/>
        <v>463</v>
      </c>
      <c r="S23" s="197">
        <f t="shared" si="21"/>
        <v>3384</v>
      </c>
      <c r="T23" s="197">
        <f t="shared" si="21"/>
        <v>6448</v>
      </c>
      <c r="U23" s="197">
        <f t="shared" si="21"/>
        <v>6423</v>
      </c>
      <c r="V23" s="197">
        <f t="shared" si="21"/>
        <v>2708</v>
      </c>
      <c r="W23" s="197">
        <f t="shared" si="21"/>
        <v>1095</v>
      </c>
      <c r="X23" s="197">
        <f t="shared" si="21"/>
        <v>3751</v>
      </c>
      <c r="Y23" s="197">
        <f t="shared" si="21"/>
        <v>0</v>
      </c>
      <c r="Z23" s="197">
        <f t="shared" si="21"/>
        <v>0</v>
      </c>
      <c r="AA23" s="197">
        <f t="shared" si="21"/>
        <v>0</v>
      </c>
      <c r="AB23" s="197">
        <f t="shared" si="21"/>
        <v>0</v>
      </c>
      <c r="AC23" s="197">
        <f t="shared" si="21"/>
        <v>2</v>
      </c>
      <c r="AD23" s="197">
        <f t="shared" si="21"/>
        <v>74</v>
      </c>
      <c r="AE23" s="197">
        <f t="shared" si="21"/>
        <v>76</v>
      </c>
      <c r="AF23" s="197">
        <f t="shared" si="21"/>
        <v>0</v>
      </c>
      <c r="AG23" s="197">
        <f t="shared" si="21"/>
        <v>0</v>
      </c>
      <c r="AH23" s="197">
        <f t="shared" si="21"/>
        <v>0</v>
      </c>
      <c r="AI23" s="197">
        <f t="shared" si="21"/>
        <v>0</v>
      </c>
      <c r="AJ23" s="197">
        <f t="shared" si="21"/>
        <v>0</v>
      </c>
      <c r="AK23" s="197">
        <f t="shared" si="21"/>
        <v>0</v>
      </c>
      <c r="AL23" s="197">
        <f t="shared" si="21"/>
        <v>62</v>
      </c>
      <c r="AM23" s="197">
        <f t="shared" si="21"/>
        <v>60</v>
      </c>
      <c r="AN23" s="197">
        <f t="shared" si="21"/>
        <v>2</v>
      </c>
      <c r="AO23" s="197">
        <f t="shared" si="21"/>
        <v>8</v>
      </c>
      <c r="AP23" s="197">
        <f t="shared" si="21"/>
        <v>7</v>
      </c>
      <c r="AQ23" s="197">
        <f t="shared" si="21"/>
        <v>7</v>
      </c>
      <c r="AR23" s="197">
        <f t="shared" si="21"/>
        <v>7</v>
      </c>
      <c r="AS23" s="197">
        <f t="shared" si="21"/>
        <v>0</v>
      </c>
      <c r="AT23" s="197">
        <f t="shared" si="21"/>
        <v>0</v>
      </c>
      <c r="AU23" s="217"/>
      <c r="AV23" s="142"/>
      <c r="AW23" s="217"/>
      <c r="AX23" s="142"/>
      <c r="AY23" s="197">
        <f>SUBTOTAL(9,AY15:AY22)</f>
        <v>3384</v>
      </c>
      <c r="AZ23" s="197">
        <f>SUBTOTAL(9,AZ15:AZ22)</f>
        <v>6448</v>
      </c>
      <c r="BA23" s="197">
        <f>SUBTOTAL(9,BA15:BA22)</f>
        <v>6423</v>
      </c>
      <c r="BB23" s="197">
        <f>SUBTOTAL(9,BB15:BB22)</f>
        <v>2708</v>
      </c>
      <c r="BC23" s="197">
        <f>SUBTOTAL(9,BC15:BC22)</f>
        <v>1095</v>
      </c>
      <c r="BD23" s="219">
        <f>IF(ISNUMBER(BA23/AZ23),BA23/AZ23," - ")</f>
        <v>0.99612282878411906</v>
      </c>
      <c r="BE23" s="220">
        <f>IF(ISNUMBER(BB23/BA23),BB23/BA23, " - ")</f>
        <v>0.42160983963879806</v>
      </c>
      <c r="BF23" s="220">
        <f>IF(ISNUMBER(BC23/BA23),BC23/BA23, " - ")</f>
        <v>0.17048108360579167</v>
      </c>
      <c r="BG23" s="221">
        <f>IF(ISNUMBER((AY23+AZ23)/BA23),(AY23+AZ23)/BA23," - ")</f>
        <v>1.530748871243967</v>
      </c>
      <c r="BH23" s="197">
        <f>SUBTOTAL(9,BH15:BH22)</f>
        <v>8</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6798</v>
      </c>
      <c r="J31" s="144">
        <f t="shared" si="36"/>
        <v>12221</v>
      </c>
      <c r="K31" s="144">
        <f t="shared" si="36"/>
        <v>11167</v>
      </c>
      <c r="L31" s="144">
        <f t="shared" si="36"/>
        <v>7596</v>
      </c>
      <c r="M31" s="144">
        <f t="shared" si="36"/>
        <v>2141</v>
      </c>
      <c r="N31" s="144">
        <f t="shared" si="36"/>
        <v>5666</v>
      </c>
      <c r="O31" s="144">
        <f t="shared" si="36"/>
        <v>2940</v>
      </c>
      <c r="P31" s="144">
        <f t="shared" si="36"/>
        <v>1633</v>
      </c>
      <c r="Q31" s="144">
        <f t="shared" si="36"/>
        <v>1901</v>
      </c>
      <c r="R31" s="144">
        <f t="shared" si="36"/>
        <v>7030</v>
      </c>
      <c r="S31" s="144">
        <f t="shared" si="36"/>
        <v>7487</v>
      </c>
      <c r="T31" s="144">
        <f t="shared" si="36"/>
        <v>11316</v>
      </c>
      <c r="U31" s="144">
        <f t="shared" si="36"/>
        <v>11258</v>
      </c>
      <c r="V31" s="144">
        <f t="shared" si="36"/>
        <v>6798</v>
      </c>
      <c r="W31" s="144">
        <f t="shared" si="36"/>
        <v>2226</v>
      </c>
      <c r="X31" s="144">
        <f t="shared" si="36"/>
        <v>5504</v>
      </c>
      <c r="Y31" s="144">
        <f t="shared" si="36"/>
        <v>178</v>
      </c>
      <c r="Z31" s="144">
        <f t="shared" si="36"/>
        <v>433</v>
      </c>
      <c r="AA31" s="144">
        <f t="shared" si="36"/>
        <v>392</v>
      </c>
      <c r="AB31" s="144">
        <f t="shared" si="36"/>
        <v>180</v>
      </c>
      <c r="AC31" s="144">
        <f t="shared" si="36"/>
        <v>2</v>
      </c>
      <c r="AD31" s="144">
        <f t="shared" si="36"/>
        <v>74</v>
      </c>
      <c r="AE31" s="144">
        <f t="shared" si="36"/>
        <v>76</v>
      </c>
      <c r="AF31" s="144">
        <f t="shared" si="36"/>
        <v>0</v>
      </c>
      <c r="AG31" s="144">
        <f t="shared" si="36"/>
        <v>173</v>
      </c>
      <c r="AH31" s="144">
        <f t="shared" si="36"/>
        <v>348</v>
      </c>
      <c r="AI31" s="144">
        <f t="shared" si="36"/>
        <v>326</v>
      </c>
      <c r="AJ31" s="144">
        <f t="shared" si="36"/>
        <v>178</v>
      </c>
      <c r="AK31" s="144">
        <f t="shared" si="36"/>
        <v>0</v>
      </c>
      <c r="AL31" s="144">
        <f t="shared" si="36"/>
        <v>62</v>
      </c>
      <c r="AM31" s="144">
        <f t="shared" si="36"/>
        <v>60</v>
      </c>
      <c r="AN31" s="224">
        <f t="shared" si="36"/>
        <v>2</v>
      </c>
      <c r="AO31" s="225">
        <v>8</v>
      </c>
      <c r="AP31" s="225">
        <v>7</v>
      </c>
      <c r="AQ31" s="225">
        <v>7</v>
      </c>
      <c r="AR31" s="225">
        <v>7</v>
      </c>
      <c r="AS31" s="166">
        <f t="shared" si="36"/>
        <v>0</v>
      </c>
      <c r="AT31" s="166">
        <f t="shared" si="36"/>
        <v>0</v>
      </c>
      <c r="AU31" s="225"/>
      <c r="AV31" s="226"/>
      <c r="AW31" s="225"/>
      <c r="AX31" s="226"/>
      <c r="AY31" s="143">
        <f>SUBTOTAL(9,AY9:AY30)</f>
        <v>7660</v>
      </c>
      <c r="AZ31" s="144">
        <f>SUBTOTAL(9,AZ9:AZ30)</f>
        <v>11664</v>
      </c>
      <c r="BA31" s="144">
        <f>SUBTOTAL(9,BA9:BA30)</f>
        <v>11584</v>
      </c>
      <c r="BB31" s="144">
        <f>SUBTOTAL(9,BB9:BB30)</f>
        <v>6976</v>
      </c>
      <c r="BC31" s="145">
        <f>SUBTOTAL(9,BC9:BC30)</f>
        <v>2875</v>
      </c>
      <c r="BD31" s="227">
        <f>IF(ISNUMBER(BA31/AZ31),BA31/AZ31," - ")</f>
        <v>0.99314128943758573</v>
      </c>
      <c r="BE31" s="224">
        <f>IF(ISNUMBER(BB31/BA31),BB31/BA31, " - ")</f>
        <v>0.60220994475138123</v>
      </c>
      <c r="BF31" s="224">
        <f>IF(ISNUMBER(BC31/BA31),BC31/BA31, " - ")</f>
        <v>0.24818715469613259</v>
      </c>
      <c r="BG31" s="145">
        <f>IF(ISNUMBER((AY31+AZ31)/BA31),(AY31+AZ31)/BA31," - ")</f>
        <v>1.6681629834254144</v>
      </c>
      <c r="BH31" s="225">
        <f>SUBTOTAL(9,BH9:BH30)</f>
        <v>16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J0N8l5xbOqby+ZeXbjbUkRVpEocQSghZh3CJ5nXLkuWyZIzs7CLcb4G7qTbMb0OCwvw+mYN+ftp3aPHTrEM+Jw==" saltValue="slwxzlnXTzJ2MzyxLgB3W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K7pWFaHFJVLpd5IC0YoS5mlUH+pJitZi3sHDNKyW0GK8q9ZOEV2zqpdlZYAtHeaQg+mkbiT0jrf6fqzfpbavKw==" saltValue="bKBO0XxNUC6sZgmSqSoBw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SAN JAVIER</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90</v>
      </c>
      <c r="G10" s="543">
        <f>IF(ISNUMBER(Datos!I10),Datos!I10," - ")</f>
        <v>90</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10</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52</v>
      </c>
      <c r="AC10" s="547">
        <f>IF(ISNUMBER(Datos!Q10),Datos!Q10," - ")</f>
        <v>10</v>
      </c>
      <c r="AD10" s="549"/>
      <c r="AE10" s="563"/>
      <c r="AF10" s="551">
        <f>IF(ISNUMBER(Datos!L10),Datos!L10,"-")</f>
        <v>103</v>
      </c>
      <c r="AG10" s="549"/>
      <c r="AH10" s="549"/>
      <c r="AI10" s="549"/>
      <c r="AJ10" s="549"/>
      <c r="AK10" s="549"/>
      <c r="AL10" s="550"/>
      <c r="AM10" s="766">
        <f>IF(ISNUMBER(Datos!R10),Datos!R10," - ")</f>
        <v>25</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31</v>
      </c>
      <c r="BD10" s="693">
        <f>IF(ISNUMBER(Datos!N10),Datos!N10," - ")</f>
        <v>11</v>
      </c>
      <c r="BE10" s="693" t="str">
        <f>IF(ISNUMBER(Datos!BW10),Datos!BW10," - ")</f>
        <v xml:space="preserve"> - </v>
      </c>
      <c r="BF10" s="762" t="str">
        <f>IF(ISNUMBER(Datos!BX10),Datos!BX10," - ")</f>
        <v xml:space="preserve"> - </v>
      </c>
      <c r="BG10" s="763">
        <f>IF(ISNUMBER(Datos!K10/Datos!J10),Datos!K10/Datos!J10," - ")</f>
        <v>0.8</v>
      </c>
      <c r="BH10" s="764">
        <f>IF(ISNUMBER(((Datos!L10/Datos!K10)*11)/factor_trimestre),((Datos!L10/Datos!K10)*11)/factor_trimestre," - ")</f>
        <v>21.78846153846154</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7</v>
      </c>
      <c r="B12" s="746" t="s">
        <v>321</v>
      </c>
      <c r="C12" s="747" t="str">
        <f>Datos!A12</f>
        <v xml:space="preserve">Jdos. 1ª Instª. e Instr.                        </v>
      </c>
      <c r="D12" s="601"/>
      <c r="E12" s="764">
        <f>IF(ISNUMBER(Datos!AQ12),Datos!AQ12," - ")</f>
        <v>7</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433</v>
      </c>
      <c r="O12" s="549"/>
      <c r="P12" s="549"/>
      <c r="Q12" s="547">
        <f>IF(ISNUMBER(Datos!P12),Datos!P12,0)</f>
        <v>1360</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1675</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180</v>
      </c>
      <c r="AI12" s="549" t="str">
        <f>IF(ISNUMBER(Datos!CD12),Datos!CD12,"-")</f>
        <v>-</v>
      </c>
      <c r="AJ12" s="549" t="str">
        <f>IF(ISNUMBER(Datos!EN12),Datos!EN12," - ")</f>
        <v xml:space="preserve"> - </v>
      </c>
      <c r="AK12" s="549"/>
      <c r="AL12" s="550"/>
      <c r="AM12" s="766">
        <f>IF(ISNUMBER(Datos!R12),Datos!R12," - ")</f>
        <v>6542</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1082</v>
      </c>
      <c r="BD12" s="693">
        <f>IF(ISNUMBER(Datos!N12),Datos!N12," - ")</f>
        <v>1679</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0.84219495569188818</v>
      </c>
      <c r="BH12" s="764">
        <f>IF(ISNUMBER(((IF(J_V="SI",Datos!L12/Datos!K12,(Datos!L12+Datos!AB12)/(Datos!K12+Datos!AA12)))*11)/factor_trimestre),((IF(J_V="SI",Datos!L12/Datos!K12,(Datos!L12+Datos!AB12)/(Datos!K12+Datos!AA12)))*11)/factor_trimestre," - ")</f>
        <v>10.982193443949818</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-4.5938457051188569E-2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7</v>
      </c>
      <c r="F14" s="1197">
        <f t="shared" si="1"/>
        <v>90</v>
      </c>
      <c r="G14" s="1197">
        <f t="shared" si="1"/>
        <v>90</v>
      </c>
      <c r="H14" s="1198">
        <f t="shared" si="1"/>
        <v>0</v>
      </c>
      <c r="I14" s="1197">
        <f t="shared" si="1"/>
        <v>0</v>
      </c>
      <c r="J14" s="1164">
        <f t="shared" si="1"/>
        <v>0</v>
      </c>
      <c r="K14" s="1164">
        <f t="shared" si="1"/>
        <v>0</v>
      </c>
      <c r="L14" s="1198">
        <f t="shared" si="1"/>
        <v>0</v>
      </c>
      <c r="M14" s="1198">
        <f t="shared" si="1"/>
        <v>0</v>
      </c>
      <c r="N14" s="1198">
        <f t="shared" si="1"/>
        <v>433</v>
      </c>
      <c r="O14" s="1199">
        <f t="shared" si="1"/>
        <v>0</v>
      </c>
      <c r="P14" s="1199">
        <f t="shared" si="1"/>
        <v>0</v>
      </c>
      <c r="Q14" s="1198">
        <f t="shared" si="1"/>
        <v>1370</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52</v>
      </c>
      <c r="AC14" s="1198">
        <f t="shared" si="2"/>
        <v>1685</v>
      </c>
      <c r="AD14" s="1198">
        <f t="shared" si="2"/>
        <v>0</v>
      </c>
      <c r="AE14" s="1198">
        <f t="shared" si="2"/>
        <v>0</v>
      </c>
      <c r="AF14" s="1198">
        <f t="shared" si="2"/>
        <v>103</v>
      </c>
      <c r="AG14" s="1198">
        <f t="shared" si="2"/>
        <v>0</v>
      </c>
      <c r="AH14" s="1198">
        <f t="shared" si="2"/>
        <v>180</v>
      </c>
      <c r="AI14" s="1198">
        <f t="shared" si="2"/>
        <v>0</v>
      </c>
      <c r="AJ14" s="1198">
        <f t="shared" si="2"/>
        <v>0</v>
      </c>
      <c r="AK14" s="1198">
        <f t="shared" si="2"/>
        <v>0</v>
      </c>
      <c r="AL14" s="1198">
        <f t="shared" si="2"/>
        <v>0</v>
      </c>
      <c r="AM14" s="1198">
        <f t="shared" si="2"/>
        <v>6567</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1113</v>
      </c>
      <c r="BD14" s="1198">
        <f t="shared" si="2"/>
        <v>1690</v>
      </c>
      <c r="BE14" s="1198">
        <f t="shared" si="2"/>
        <v>0</v>
      </c>
      <c r="BF14" s="1198">
        <f t="shared" si="2"/>
        <v>0</v>
      </c>
      <c r="BG14" s="1198">
        <f>IF(ISNUMBER(Datos!K14/Datos!J14),Datos!K14/Datos!J14," - ")</f>
        <v>0.83672727272727276</v>
      </c>
      <c r="BH14" s="1202">
        <f>IF(ISNUMBER(((Datos!L14/Datos!K14)*11)/factor_trimestre),((Datos!L14/Datos!K14)*11)/factor_trimestre," - ")</f>
        <v>11.609517601043025</v>
      </c>
      <c r="BI14" s="1198">
        <f>IF(ISNUMBER('Resol  Asuntos'!D14/NºAsuntos!G14),'Resol  Asuntos'!D14/NºAsuntos!G14," - ")</f>
        <v>0.22286744092911495</v>
      </c>
      <c r="BJ14" s="1198" t="str">
        <f>IF(ISNUMBER(Datos!CI14/Datos!CJ14),Datos!CI14/Datos!CJ14," - ")</f>
        <v xml:space="preserve"> - </v>
      </c>
      <c r="BK14" s="1198">
        <f>SUBTOTAL(9,BK8:BK13)</f>
        <v>0</v>
      </c>
      <c r="BL14" s="1198">
        <f>IF(ISNUMBER((I14-AB14+L14)/(F14)),(I14-AB14+L14)/(F14)," - ")</f>
        <v>-0.57777777777777772</v>
      </c>
      <c r="BM14" s="1203">
        <f>SUBTOTAL(9,BM9:BM13)</f>
        <v>-4.5938457051188569E-2</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7</v>
      </c>
      <c r="B17" s="737" t="s">
        <v>511</v>
      </c>
      <c r="C17" s="749" t="str">
        <f>Datos!A17</f>
        <v xml:space="preserve">Jdos. 1ª Instª. e Instr.                        </v>
      </c>
      <c r="D17" s="750"/>
      <c r="E17" s="1555">
        <f>IF(ISNUMBER(Datos!AQ17),Datos!AQ17," - ")</f>
        <v>7</v>
      </c>
      <c r="F17" s="740">
        <f>IF(ISNUMBER(AF17+AB17-Datos!J17-L17),AF17+AB17-Datos!J17-L17," - ")</f>
        <v>2366</v>
      </c>
      <c r="G17" s="743">
        <f>IF(ISNUMBER(IF(D_I="SI",Datos!I17,Datos!I17+Datos!AC17)),IF(D_I="SI",Datos!I17,Datos!I17+Datos!AC17)," - ")</f>
        <v>2494</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235</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5799</v>
      </c>
      <c r="AC17" s="240">
        <f>IF(ISNUMBER(Datos!Q17),Datos!Q17," - ")</f>
        <v>174</v>
      </c>
      <c r="AD17" s="374"/>
      <c r="AE17" s="562"/>
      <c r="AF17" s="741">
        <f>IF(ISNUMBER(IF(D_I="SI",Datos!L17,Datos!L17+Datos!AF17)),IF(D_I="SI",Datos!L17,Datos!L17+Datos!AF17)," - ")</f>
        <v>2591</v>
      </c>
      <c r="AG17" s="374"/>
      <c r="AH17" s="374"/>
      <c r="AI17" s="374"/>
      <c r="AJ17" s="549"/>
      <c r="AK17" s="374"/>
      <c r="AL17" s="545"/>
      <c r="AM17" s="375">
        <f>IF(ISNUMBER(Datos!R17),Datos!R17," - ")</f>
        <v>455</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889</v>
      </c>
      <c r="BD17" s="243">
        <f>IF(ISNUMBER(Datos!N17),Datos!N17," - ")</f>
        <v>3520</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0.96264940239043828</v>
      </c>
      <c r="BH17" s="764">
        <f>IF(ISNUMBER(((IF(D_I="SI",Datos!L17/Datos!K17,(Datos!L17+Datos!AF17)/(Datos!K17+Datos!AE17)))*11)/factor_trimestre),((IF(D_I="SI",Datos!L17/Datos!K17,(Datos!L17+Datos!AF17)/(Datos!K17+Datos!AE17)))*11)/factor_trimestre," - ")</f>
        <v>4.9148128987756508</v>
      </c>
      <c r="BI17" s="266">
        <f>IF(ISNUMBER('Resol  Asuntos'!D17/NºAsuntos!G17),'Resol  Asuntos'!D17/NºAsuntos!G17," - ")</f>
        <v>0.15330229349887911</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214</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28</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766</v>
      </c>
      <c r="AC18" s="547">
        <f>IF(ISNUMBER(Datos!Q18),Datos!Q18," - ")</f>
        <v>42</v>
      </c>
      <c r="AD18" s="549"/>
      <c r="AE18" s="562"/>
      <c r="AF18" s="551">
        <f>IF(ISNUMBER(Datos!L18),Datos!L18,"-")</f>
        <v>148</v>
      </c>
      <c r="AG18" s="549"/>
      <c r="AH18" s="549"/>
      <c r="AI18" s="549"/>
      <c r="AJ18" s="549"/>
      <c r="AK18" s="549"/>
      <c r="AL18" s="550"/>
      <c r="AM18" s="766">
        <f>IF(ISNUMBER(Datos!R18),Datos!R18," - ")</f>
        <v>8</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139</v>
      </c>
      <c r="BD18" s="693">
        <f>IF(ISNUMBER(Datos!N18),Datos!N18," - ")</f>
        <v>456</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1.0989956958393112</v>
      </c>
      <c r="BH18" s="764">
        <f>IF(ISNUMBER(((IF(D_I="SI",Datos!L18/Datos!K18,(Datos!L18+Datos!AF18)/(Datos!K18+Datos!AE18)))*11)/factor_trimestre),((IF(D_I="SI",Datos!L18/Datos!K18,(Datos!L18+Datos!AF18)/(Datos!K18+Datos!AE18)))*11)/factor_trimestre," - ")</f>
        <v>2.1253263707571799</v>
      </c>
      <c r="BI18" s="763">
        <f>IF(ISNUMBER('Resol  Asuntos'!D18/NºAsuntos!G18),'Resol  Asuntos'!D18/NºAsuntos!G18," - ")</f>
        <v>0.18146214099216709</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7</v>
      </c>
      <c r="F23" s="1197">
        <f>SUBTOTAL(9,F16:F22)</f>
        <v>2366</v>
      </c>
      <c r="G23" s="1197">
        <f>SUBTOTAL(9,G16:G22)</f>
        <v>2708</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263</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6565</v>
      </c>
      <c r="AC23" s="1198">
        <f t="shared" si="5"/>
        <v>216</v>
      </c>
      <c r="AD23" s="1198">
        <f t="shared" si="5"/>
        <v>0</v>
      </c>
      <c r="AE23" s="1198">
        <f t="shared" si="5"/>
        <v>0</v>
      </c>
      <c r="AF23" s="1198">
        <f t="shared" si="5"/>
        <v>2739</v>
      </c>
      <c r="AG23" s="1198">
        <f t="shared" si="5"/>
        <v>0</v>
      </c>
      <c r="AH23" s="1198">
        <f t="shared" si="5"/>
        <v>0</v>
      </c>
      <c r="AI23" s="1198">
        <f t="shared" si="5"/>
        <v>0</v>
      </c>
      <c r="AJ23" s="1198">
        <f t="shared" si="5"/>
        <v>0</v>
      </c>
      <c r="AK23" s="1198">
        <f t="shared" si="5"/>
        <v>0</v>
      </c>
      <c r="AL23" s="1198">
        <f t="shared" si="5"/>
        <v>0</v>
      </c>
      <c r="AM23" s="1198">
        <f t="shared" si="5"/>
        <v>463</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1028</v>
      </c>
      <c r="BD23" s="1198">
        <f t="shared" si="5"/>
        <v>3976</v>
      </c>
      <c r="BE23" s="1198">
        <f t="shared" si="5"/>
        <v>0</v>
      </c>
      <c r="BF23" s="1198">
        <f t="shared" si="5"/>
        <v>0</v>
      </c>
      <c r="BG23" s="1198">
        <f>IF(ISNUMBER(Datos!K23/Datos!J23),Datos!K23/Datos!J23," - ")</f>
        <v>0.97678916827853002</v>
      </c>
      <c r="BH23" s="1202">
        <f>IF(ISNUMBER(((Datos!L23/Datos!K23)*11)/factor_trimestre),((Datos!L23/Datos!K23)*11)/factor_trimestre," - ")</f>
        <v>4.5893373952779895</v>
      </c>
      <c r="BI23" s="1198">
        <f>SUBTOTAL(9,BI16:BI22)</f>
        <v>0.3347644344910462</v>
      </c>
      <c r="BJ23" s="1198">
        <f>SUBTOTAL(9,BJ16:BJ22)</f>
        <v>0</v>
      </c>
      <c r="BK23" s="1198">
        <f>SUBTOTAL(9,BK16:BK22)</f>
        <v>0</v>
      </c>
      <c r="BL23" s="1198">
        <f>IF(ISNUMBER((I23-AB23+L23)/(F23)),(I23-AB23+L23)/(F23)," - ")</f>
        <v>-2.7747252747252746</v>
      </c>
      <c r="BM23" s="1205">
        <f>IF(ISNUMBER((Datos!P23-Datos!Q23)/(Datos!R23-Datos!P23+Datos!Q23)),(Datos!P23-Datos!Q23)/(Datos!R23-Datos!P23+Datos!Q23)," - ")</f>
        <v>0.11298076923076923</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14</v>
      </c>
      <c r="F31" s="1117">
        <f t="shared" si="18"/>
        <v>2456</v>
      </c>
      <c r="G31" s="1117">
        <f t="shared" si="18"/>
        <v>2798</v>
      </c>
      <c r="H31" s="1119">
        <f t="shared" si="18"/>
        <v>0</v>
      </c>
      <c r="I31" s="1117">
        <f t="shared" si="18"/>
        <v>0</v>
      </c>
      <c r="J31" s="1119">
        <f t="shared" si="18"/>
        <v>0</v>
      </c>
      <c r="K31" s="1119">
        <f t="shared" si="18"/>
        <v>0</v>
      </c>
      <c r="L31" s="1180">
        <f t="shared" si="18"/>
        <v>0</v>
      </c>
      <c r="M31" s="1180">
        <f t="shared" si="18"/>
        <v>0</v>
      </c>
      <c r="N31" s="1180">
        <f t="shared" si="18"/>
        <v>433</v>
      </c>
      <c r="O31" s="1180">
        <f t="shared" si="18"/>
        <v>0</v>
      </c>
      <c r="P31" s="1180">
        <f t="shared" si="18"/>
        <v>0</v>
      </c>
      <c r="Q31" s="1119">
        <f t="shared" si="18"/>
        <v>1633</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6617</v>
      </c>
      <c r="AC31" s="1118">
        <f t="shared" si="19"/>
        <v>1901</v>
      </c>
      <c r="AD31" s="1118">
        <f t="shared" si="19"/>
        <v>0</v>
      </c>
      <c r="AE31" s="1118">
        <f t="shared" si="19"/>
        <v>0</v>
      </c>
      <c r="AF31" s="1125">
        <f t="shared" si="19"/>
        <v>2842</v>
      </c>
      <c r="AG31" s="1125">
        <f t="shared" si="19"/>
        <v>0</v>
      </c>
      <c r="AH31" s="1125">
        <f t="shared" si="19"/>
        <v>180</v>
      </c>
      <c r="AI31" s="1125">
        <f t="shared" si="19"/>
        <v>0</v>
      </c>
      <c r="AJ31" s="1118">
        <f t="shared" si="19"/>
        <v>0</v>
      </c>
      <c r="AK31" s="1125">
        <f t="shared" si="19"/>
        <v>0</v>
      </c>
      <c r="AL31" s="1125">
        <f t="shared" si="19"/>
        <v>0</v>
      </c>
      <c r="AM31" s="1125">
        <f t="shared" si="19"/>
        <v>7030</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2141</v>
      </c>
      <c r="BD31" s="1117">
        <f t="shared" si="19"/>
        <v>5666</v>
      </c>
      <c r="BE31" s="1117">
        <f t="shared" si="19"/>
        <v>0</v>
      </c>
      <c r="BF31" s="1127">
        <f t="shared" si="19"/>
        <v>0</v>
      </c>
      <c r="BG31" s="1223">
        <f>IF(ISNUMBER(Datos!K31/Datos!J31),Datos!K31/Datos!J31," - ")</f>
        <v>0.91375501186482289</v>
      </c>
      <c r="BH31" s="1223">
        <f>IF(ISNUMBER(((Datos!L31/Datos!K31)*11)/factor_trimestre),((Datos!L31/Datos!K31)*11)/factor_trimestre," - ")</f>
        <v>7.4824035103429756</v>
      </c>
      <c r="BI31" s="1103">
        <f>IF(ISNUMBER(Datos!J31/Datos!I31),Datos!J31/Datos!I31," - ")</f>
        <v>1.7977346278317152</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-2.6942182410423454</v>
      </c>
      <c r="BM31" s="1188">
        <f>IF(ISNUMBER((Datos!P31-Datos!Q31+R31)/(Datos!R31-Datos!P31+Datos!Q31-R31)),(Datos!P31-Datos!Q31+R31)/(Datos!R31-Datos!P31+Datos!Q31-R31)," - ")</f>
        <v>-3.6722389695807073E-2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799.42857142857144</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2.9319773580418684</v>
      </c>
      <c r="F33" s="673">
        <f>IF(ISNUMBER(STDEV(F8:F30)),STDEV(F8:F30),"-")</f>
        <v>1199.2348671826828</v>
      </c>
      <c r="G33" s="674">
        <f>IF(ISNUMBER(STDEV(G8:G30)),STDEV(G8:G30),"-")</f>
        <v>1234.3482567928791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2952.3992422628558</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532.50613678556397</v>
      </c>
      <c r="BD33" s="673"/>
      <c r="BE33" s="673">
        <f>IF(ISNUMBER(STDEV(BE8:BE30)),STDEV(BE8:BE30),"-")</f>
        <v>0</v>
      </c>
      <c r="BF33" s="678">
        <f>IF(ISNUMBER(STDEV(BF8:BF30)),STDEV(BF8:BF30),"-")</f>
        <v>0</v>
      </c>
      <c r="BG33" s="1052">
        <f>IF(ISNUMBER(STDEV(BG8:BG30)),STDEV(BG8:BG30),"-")</f>
        <v>0.11355196839134259</v>
      </c>
      <c r="BH33" s="1058">
        <f>IF(ISNUMBER(STDEV(BH8:BH30)),STDEV(BH8:BH30),"-")</f>
        <v>7.1695765877291313</v>
      </c>
      <c r="BI33" s="273">
        <f>IF(ISNUMBER(STDEV(BI8:BI30)),STDEV(BI8:BI30),"-")</f>
        <v>7.9737969094811192E-2</v>
      </c>
      <c r="BJ33" s="244" t="str">
        <f>IF(ISNUMBER(BL33/BM33),BL33/BM33," - ")</f>
        <v xml:space="preserve"> - </v>
      </c>
      <c r="BK33" s="709"/>
      <c r="BL33" s="681">
        <f>IF(ISNUMBER(STDEV(BL8:BL30)),STDEV(BL8:BL30),"-")</f>
        <v>1.5534764730023873</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Y+l9zVIBR1QyyO0vZi+PTXFF+cqa7v51Q5lbdOqVqTFgHB/A+Nv3eGRDosDcoAiZXoIjrJ48eoe5hbeo1K/Y1w==" saltValue="2ie38kjRapswIqA0zwzH/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SAN JAVIER</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90</v>
      </c>
      <c r="G10" s="552">
        <f>IF(ISNUMBER(Datos!I10),Datos!I10," - ")</f>
        <v>90</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10</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52</v>
      </c>
      <c r="Z10" s="805">
        <f>IF(ISNUMBER(Datos!Q10),Datos!Q10," - ")</f>
        <v>10</v>
      </c>
      <c r="AA10" s="551">
        <f>IF(ISNUMBER(Datos!L10),Datos!L10,"-")</f>
        <v>103</v>
      </c>
      <c r="AB10" s="549"/>
      <c r="AC10" s="549"/>
      <c r="AD10" s="563"/>
      <c r="AE10" s="563">
        <f>IF(ISNUMBER(Datos!R10),Datos!R10," - ")</f>
        <v>25</v>
      </c>
      <c r="AF10" s="693" t="str">
        <f>IF(ISNUMBER(Datos!BV10),Datos!BV10," - ")</f>
        <v xml:space="preserve"> - </v>
      </c>
      <c r="AG10" s="552" t="str">
        <f>IF(ISNUMBER(Datos!DV10),Datos!DV10," - ")</f>
        <v xml:space="preserve"> - </v>
      </c>
      <c r="AH10" s="553"/>
      <c r="AI10" s="554"/>
      <c r="AJ10" s="552">
        <f>IF(ISNUMBER(Datos!M10),Datos!M10," - ")</f>
        <v>31</v>
      </c>
      <c r="AK10" s="693">
        <f>IF(ISNUMBER(Datos!N10),Datos!N10," - ")</f>
        <v>11</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21.78846153846154</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7</v>
      </c>
      <c r="B12" s="746" t="s">
        <v>321</v>
      </c>
      <c r="C12" s="747" t="str">
        <f>Datos!A12</f>
        <v xml:space="preserve">Jdos. 1ª Instª. e Instr.                        </v>
      </c>
      <c r="D12" s="601"/>
      <c r="E12" s="1558">
        <f>IF(ISNUMBER(Datos!AQ12),Datos!AQ12," - ")</f>
        <v>7</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1360</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1675</v>
      </c>
      <c r="AA12" s="551" t="str">
        <f>IF(ISNUMBER(IF(J_V="SI",Datos!L12,Datos!L12+Datos!AB12)-IF(Monitorios="SI",Datos!CD12,0)),
                          IF(J_V="SI",Datos!L12,Datos!L12+Datos!AB12)-IF(Monitorios="SI",Datos!CD12,0),
                          " - ")</f>
        <v xml:space="preserve"> - </v>
      </c>
      <c r="AB12" s="549"/>
      <c r="AC12" s="549"/>
      <c r="AD12" s="563"/>
      <c r="AE12" s="563">
        <f>IF(ISNUMBER(Datos!R12),Datos!R12," - ")</f>
        <v>6542</v>
      </c>
      <c r="AF12" s="693" t="str">
        <f>IF(ISNUMBER(Datos!BV12),Datos!BV12," - ")</f>
        <v xml:space="preserve"> - </v>
      </c>
      <c r="AG12" s="552" t="str">
        <f>IF(ISNUMBER(Datos!DV12),Datos!DV12," - ")</f>
        <v xml:space="preserve"> - </v>
      </c>
      <c r="AH12" s="553"/>
      <c r="AI12" s="554"/>
      <c r="AJ12" s="552">
        <f>IF(ISNUMBER(Datos!M12),Datos!M12," - ")</f>
        <v>1082</v>
      </c>
      <c r="AK12" s="693">
        <f>IF(ISNUMBER(Datos!N12),Datos!N12," - ")</f>
        <v>1679</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10.982193443949818</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-4.5938457051188569E-2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7</v>
      </c>
      <c r="F14" s="1197">
        <f>SUBTOTAL(9,F8:F13)</f>
        <v>90</v>
      </c>
      <c r="G14" s="1197">
        <f>SUBTOTAL(9,G8:G13)</f>
        <v>90</v>
      </c>
      <c r="H14" s="1211"/>
      <c r="I14" s="1197">
        <f t="shared" ref="I14:N14" si="1">SUBTOTAL(9,I8:I13)</f>
        <v>0</v>
      </c>
      <c r="J14" s="1164">
        <f t="shared" si="1"/>
        <v>0</v>
      </c>
      <c r="K14" s="1211">
        <f t="shared" si="1"/>
        <v>0</v>
      </c>
      <c r="L14" s="1211">
        <f t="shared" si="1"/>
        <v>0</v>
      </c>
      <c r="M14" s="1211">
        <f t="shared" si="1"/>
        <v>0</v>
      </c>
      <c r="N14" s="1211">
        <f t="shared" si="1"/>
        <v>1370</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52</v>
      </c>
      <c r="Z14" s="1210">
        <f t="shared" si="3"/>
        <v>1685</v>
      </c>
      <c r="AA14" s="1199">
        <f t="shared" si="3"/>
        <v>103</v>
      </c>
      <c r="AB14" s="1199">
        <f t="shared" si="3"/>
        <v>0</v>
      </c>
      <c r="AC14" s="1199">
        <f t="shared" si="3"/>
        <v>0</v>
      </c>
      <c r="AD14" s="1199">
        <f t="shared" si="3"/>
        <v>0</v>
      </c>
      <c r="AE14" s="1199">
        <f t="shared" si="3"/>
        <v>6567</v>
      </c>
      <c r="AF14" s="1211">
        <f t="shared" si="3"/>
        <v>0</v>
      </c>
      <c r="AG14" s="1211">
        <f t="shared" si="3"/>
        <v>0</v>
      </c>
      <c r="AH14" s="1211">
        <f t="shared" si="3"/>
        <v>0</v>
      </c>
      <c r="AI14" s="1211">
        <f t="shared" si="3"/>
        <v>0</v>
      </c>
      <c r="AJ14" s="1211">
        <f t="shared" si="3"/>
        <v>1113</v>
      </c>
      <c r="AK14" s="1211">
        <f t="shared" si="3"/>
        <v>1690</v>
      </c>
      <c r="AL14" s="1211">
        <f t="shared" si="3"/>
        <v>0</v>
      </c>
      <c r="AM14" s="1211">
        <f t="shared" si="3"/>
        <v>0</v>
      </c>
      <c r="AN14" s="1211">
        <f t="shared" si="3"/>
        <v>0</v>
      </c>
      <c r="AO14" s="1203">
        <f>IF(ISNUMBER(((NºAsuntos!I14/NºAsuntos!G14)*11)/factor_trimestre),((NºAsuntos!I14/NºAsuntos!G14)*11)/factor_trimestre," - ")</f>
        <v>11.094713656387665</v>
      </c>
      <c r="AP14" s="1213" t="str">
        <f>IF(ISNUMBER(Datos!CI14/Datos!CJ14),Datos!CI14/Datos!CJ14," - ")</f>
        <v xml:space="preserve"> - </v>
      </c>
      <c r="AQ14" s="1236">
        <f t="shared" ref="AQ14:AV14" si="4">SUBTOTAL(9,AQ9:AQ13)</f>
        <v>0</v>
      </c>
      <c r="AR14" s="1236">
        <f t="shared" si="4"/>
        <v>-4.5938457051188569E-2</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7</v>
      </c>
      <c r="B17" s="746" t="s">
        <v>511</v>
      </c>
      <c r="C17" s="765" t="str">
        <f>Datos!A17</f>
        <v xml:space="preserve">Jdos. 1ª Instª. e Instr.                        </v>
      </c>
      <c r="D17" s="593"/>
      <c r="E17" s="1558">
        <f>IF(ISNUMBER(Datos!AQ17),Datos!AQ17," - ")</f>
        <v>7</v>
      </c>
      <c r="F17" s="543">
        <f>IF(ISNUMBER(AA17+Y17-Datos!J17-K16),AA17+Y17-Datos!J17-K16," - ")</f>
        <v>2366</v>
      </c>
      <c r="G17" s="552">
        <f>IF(ISNUMBER(IF(D_I="SI",Datos!I17,Datos!I17+Datos!AC17)),IF(D_I="SI",Datos!I17,Datos!I17+Datos!AC17)," - ")</f>
        <v>2494</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235</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5799</v>
      </c>
      <c r="Z17" s="805">
        <f>IF(ISNUMBER(Datos!Q17),Datos!Q17," - ")</f>
        <v>174</v>
      </c>
      <c r="AA17" s="551">
        <f>IF(ISNUMBER(IF(D_I="SI",Datos!L17,Datos!L17+Datos!AF17)),IF(D_I="SI",Datos!L17,Datos!L17+Datos!AF17)," - ")</f>
        <v>2591</v>
      </c>
      <c r="AB17" s="549"/>
      <c r="AC17" s="549"/>
      <c r="AD17" s="563"/>
      <c r="AE17" s="563">
        <f>IF(ISNUMBER(Datos!R17),Datos!R17," - ")</f>
        <v>455</v>
      </c>
      <c r="AF17" s="693" t="str">
        <f>IF(ISNUMBER(Datos!BV17),Datos!BV17," - ")</f>
        <v xml:space="preserve"> - </v>
      </c>
      <c r="AG17" s="552"/>
      <c r="AH17" s="553"/>
      <c r="AI17" s="554"/>
      <c r="AJ17" s="552">
        <f>IF(ISNUMBER(Datos!M17),Datos!M17," - ")</f>
        <v>889</v>
      </c>
      <c r="AK17" s="693">
        <f>IF(ISNUMBER(Datos!N17),Datos!N17," - ")</f>
        <v>3520</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4.9148128987756508</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214</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28</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766</v>
      </c>
      <c r="Z18" s="805">
        <f>IF(ISNUMBER(Datos!Q18),Datos!Q18," - ")</f>
        <v>42</v>
      </c>
      <c r="AA18" s="551">
        <f>IF(ISNUMBER(Datos!L18),Datos!L18,"-")</f>
        <v>148</v>
      </c>
      <c r="AB18" s="549"/>
      <c r="AC18" s="549"/>
      <c r="AD18" s="563"/>
      <c r="AE18" s="563">
        <f>IF(ISNUMBER(Datos!R18),Datos!R18," - ")</f>
        <v>8</v>
      </c>
      <c r="AF18" s="693" t="str">
        <f>IF(ISNUMBER(Datos!BV18),Datos!BV18," - ")</f>
        <v xml:space="preserve"> - </v>
      </c>
      <c r="AG18" s="552" t="str">
        <f>IF(ISNUMBER(Datos!DV18),Datos!DV18," - ")</f>
        <v xml:space="preserve"> - </v>
      </c>
      <c r="AH18" s="553"/>
      <c r="AI18" s="554"/>
      <c r="AJ18" s="552">
        <f>IF(ISNUMBER(Datos!M18),Datos!M18," - ")</f>
        <v>139</v>
      </c>
      <c r="AK18" s="693">
        <f>IF(ISNUMBER(Datos!N18),Datos!N18," - ")</f>
        <v>456</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2.1253263707571799</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7</v>
      </c>
      <c r="F23" s="1197">
        <f>SUBTOTAL(9,F16:F22)</f>
        <v>2366</v>
      </c>
      <c r="G23" s="1197">
        <f>SUBTOTAL(9,G16:G22)</f>
        <v>2708</v>
      </c>
      <c r="H23" s="1240">
        <f>SUBTOTAL(9,H16:H22)</f>
        <v>0</v>
      </c>
      <c r="I23" s="1217">
        <f>SUBTOTAL(9,I16:I22)</f>
        <v>0</v>
      </c>
      <c r="J23" s="1164">
        <f>SUBTOTAL(9,J15:J22)</f>
        <v>0</v>
      </c>
      <c r="K23" s="1240">
        <f t="shared" ref="K23:S23" si="5">SUBTOTAL(9,K16:K22)</f>
        <v>0</v>
      </c>
      <c r="L23" s="1240">
        <f t="shared" si="5"/>
        <v>0</v>
      </c>
      <c r="M23" s="1240">
        <f t="shared" si="5"/>
        <v>0</v>
      </c>
      <c r="N23" s="1240">
        <f t="shared" si="5"/>
        <v>263</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6565</v>
      </c>
      <c r="Z23" s="1240">
        <f t="shared" si="6"/>
        <v>216</v>
      </c>
      <c r="AA23" s="1240">
        <f t="shared" si="6"/>
        <v>2739</v>
      </c>
      <c r="AB23" s="1240">
        <f t="shared" si="6"/>
        <v>0</v>
      </c>
      <c r="AC23" s="1240">
        <f t="shared" si="6"/>
        <v>0</v>
      </c>
      <c r="AD23" s="1240">
        <f t="shared" si="6"/>
        <v>0</v>
      </c>
      <c r="AE23" s="1240">
        <f t="shared" si="6"/>
        <v>463</v>
      </c>
      <c r="AF23" s="1240">
        <f t="shared" si="6"/>
        <v>0</v>
      </c>
      <c r="AG23" s="1240">
        <f t="shared" si="6"/>
        <v>0</v>
      </c>
      <c r="AH23" s="1240">
        <f t="shared" si="6"/>
        <v>0</v>
      </c>
      <c r="AI23" s="1240">
        <f t="shared" si="6"/>
        <v>0</v>
      </c>
      <c r="AJ23" s="1240">
        <f t="shared" si="6"/>
        <v>1028</v>
      </c>
      <c r="AK23" s="1240">
        <f t="shared" si="6"/>
        <v>3976</v>
      </c>
      <c r="AL23" s="1240">
        <f t="shared" si="6"/>
        <v>0</v>
      </c>
      <c r="AM23" s="1240">
        <f t="shared" si="6"/>
        <v>0</v>
      </c>
      <c r="AN23" s="1240">
        <f t="shared" si="6"/>
        <v>0</v>
      </c>
      <c r="AO23" s="1242">
        <f>IF(ISNUMBER(((NºAsuntos!I23/NºAsuntos!G23)*11)/factor_trimestre),((NºAsuntos!I23/NºAsuntos!G23)*11)/factor_trimestre," - ")</f>
        <v>4.5893373952779895</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14</v>
      </c>
      <c r="F31" s="1117">
        <f t="shared" si="12"/>
        <v>2456</v>
      </c>
      <c r="G31" s="1117">
        <f t="shared" si="12"/>
        <v>2798</v>
      </c>
      <c r="H31" s="1118">
        <f t="shared" si="12"/>
        <v>0</v>
      </c>
      <c r="I31" s="1117">
        <f t="shared" si="12"/>
        <v>0</v>
      </c>
      <c r="J31" s="1119">
        <f t="shared" si="12"/>
        <v>0</v>
      </c>
      <c r="K31" s="1117">
        <f t="shared" si="12"/>
        <v>0</v>
      </c>
      <c r="L31" s="1120">
        <f t="shared" si="12"/>
        <v>0</v>
      </c>
      <c r="M31" s="1117">
        <f t="shared" si="12"/>
        <v>0</v>
      </c>
      <c r="N31" s="1118">
        <f t="shared" si="12"/>
        <v>1633</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6617</v>
      </c>
      <c r="Z31" s="1124">
        <f t="shared" si="13"/>
        <v>1901</v>
      </c>
      <c r="AA31" s="1125">
        <f t="shared" si="13"/>
        <v>2842</v>
      </c>
      <c r="AB31" s="1125">
        <f t="shared" si="13"/>
        <v>0</v>
      </c>
      <c r="AC31" s="1125">
        <f t="shared" si="13"/>
        <v>0</v>
      </c>
      <c r="AD31" s="1126">
        <f t="shared" si="13"/>
        <v>0</v>
      </c>
      <c r="AE31" s="1126">
        <f t="shared" si="13"/>
        <v>7030</v>
      </c>
      <c r="AF31" s="1127">
        <f t="shared" si="13"/>
        <v>0</v>
      </c>
      <c r="AG31" s="1128">
        <f t="shared" si="13"/>
        <v>0</v>
      </c>
      <c r="AH31" s="1129">
        <f t="shared" si="13"/>
        <v>0</v>
      </c>
      <c r="AI31" s="1127">
        <f t="shared" si="13"/>
        <v>0</v>
      </c>
      <c r="AJ31" s="1117">
        <f t="shared" si="13"/>
        <v>2141</v>
      </c>
      <c r="AK31" s="1117">
        <f t="shared" si="13"/>
        <v>5666</v>
      </c>
      <c r="AL31" s="1117">
        <f t="shared" si="13"/>
        <v>0</v>
      </c>
      <c r="AM31" s="1130">
        <f t="shared" si="13"/>
        <v>0</v>
      </c>
      <c r="AN31" s="1120">
        <f>IF(ISNUMBER(Datos!K31/Datos!J31),Datos!K31/Datos!J31," - ")</f>
        <v>0.91375501186482289</v>
      </c>
      <c r="AO31" s="1120">
        <f>IF(ISNUMBER(FIND("06",Criterios!A8,1)),(IF(ISNUMBER(((Datos!R31/Datos!Q31)*11)/factor_trimestre),((Datos!R31/Datos!Q31)*11)/factor_trimestre," - ")),(IF(ISNUMBER(((Datos!L31/Datos!K31)*11)/factor_trimestre),((Datos!L31/Datos!K31)*11)/factor_trimestre," - ")))</f>
        <v>7.4824035103429756</v>
      </c>
      <c r="AP31" s="1131" t="str">
        <f>IF(ISNUMBER(Datos!CI31/Datos!CJ31),Datos!CI31/Datos!CJ31," - ")</f>
        <v xml:space="preserve"> - </v>
      </c>
      <c r="AQ31" s="1131">
        <f>IF(OR(ISNUMBER(FIND("01",Criterios!A8,1)),ISNUMBER(FIND("02",Criterios!A8,1)),ISNUMBER(FIND("03",Criterios!A8,1)),ISNUMBER(FIND("04",Criterios!A8,1))),(J31-Y31+K31)/(F31-K31),(I31-Y31+K31)/(F31-K31))</f>
        <v>-2.6942182410423454</v>
      </c>
      <c r="AR31" s="1131">
        <f>IF(ISNUMBER((Datos!P31-Datos!Q31+O31)/(Datos!R31-Datos!P31+Datos!Q31-O31)),(Datos!P31-Datos!Q31+O31)/(Datos!R31-Datos!P31+Datos!Q31-O31)," - ")</f>
        <v>-3.6722389695807073E-2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799.42857142857144</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1199.2348671826828</v>
      </c>
      <c r="G33" s="674">
        <f>IF(ISNUMBER(STDEV(G8:G30)),STDEV(G8:G30),"-")</f>
        <v>1234.3482567928791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532.50613678556397</v>
      </c>
      <c r="AK33" s="276"/>
      <c r="AL33" s="276">
        <f>IF(ISNUMBER(STDEV(AL8:AL30)),STDEV(AL8:AL30),"-")</f>
        <v>0</v>
      </c>
      <c r="AM33" s="278">
        <f>IF(ISNUMBER(STDEV(AM8:AM30)),STDEV(AM8:AM30),"-")</f>
        <v>0</v>
      </c>
      <c r="AN33" s="660">
        <f>IF(ISNUMBER(STDEV(AN8:AN30)),STDEV(AN8:AN30),"-")</f>
        <v>0</v>
      </c>
      <c r="AO33" s="661">
        <f>IF(ISNUMBER(STDEV(AO8:AO30)),STDEV(AO8:AO30),"-")</f>
        <v>7.1399309991795707</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l5RyS8ddw2UXSj27HXlJahug9RWKrhONzuUPP6jsrlvlSS6NDRRucEO2Kb/XYy6X6QSFaWaIxgBY08EM59BapA==" saltValue="q3lis/S+r8SskbaSSBXel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EfdwHZJ1jNqk/8Pz/iSxEFmRkwYYwmaTP1OzPS1qVTw2pphwh5I50+S7/tmtuQzGkuTwoaISC87gLWexTM7sPg==" saltValue="TBC7mkNZ3hHDwJthS1QS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xMNyEcQvfcbXBe00ACblcJguHOoHQj2zUM1IKKQtjpka7C7BJRiqC7CPT287jaMMaGyEu5Xkq/lYyyQ6zjT88Q==" saltValue="NkY5YLyIOFlbZa4LfemFX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SAN JAVIER</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0.22286744092911495</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0.1575910787866695</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JLDp5sWHKHUqjIvZuwWo7xQSBVIXaHQy5J5Yg+yU+Su5RO22yenIgoYr1LpgaYaxC0RXhHAzyEbMGQ+vplZyw==" saltValue="F4vekChEnHDcsAgHPaGVX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RrBWWJ/K04weFI5o4rjXGkwLbfMwtyDZb8IbmHxAZr2U0YoAOrp3HZ+GKWpREAVGw43OTkstAmW9UXOz4xzFRA==" saltValue="6Tx+ZlrWxBKFQnOwh341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SAN JAVIER</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90</v>
      </c>
      <c r="G10" s="906">
        <f>IF(ISNUMBER(Datos!I10),Datos!I10," - ")</f>
        <v>90</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10</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52</v>
      </c>
      <c r="AC10" s="905" t="str">
        <f>IF(ISNUMBER(IF(D_I="SI",DatosP!K18,DatosP!K18+DatosP!AE18)),IF(D_I="SI",DatosP!K18,DatosP!K18+DatosP!AE18)," - ")</f>
        <v xml:space="preserve"> - </v>
      </c>
      <c r="AD10" s="907"/>
      <c r="AE10" s="907"/>
      <c r="AF10" s="910">
        <f>IF(ISNUMBER(Datos!L10),Datos!L10,"-")</f>
        <v>103</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31</v>
      </c>
      <c r="AM10" s="914">
        <f>IF(ISNUMBER(Datos!N10+DatosP!N18),Datos!N10+DatosP!N18," - ")</f>
        <v>11</v>
      </c>
      <c r="AN10" s="914">
        <f>IF(ISNUMBER(Datos!BW10+DatosP!BW18),Datos!BW10+DatosP!BW18," - ")</f>
        <v>0</v>
      </c>
      <c r="AO10" s="915">
        <f>IF(ISNUMBER(Datos!BX10+DatosP!BX18),Datos!BX10+DatosP!BX18," - ")</f>
        <v>0</v>
      </c>
      <c r="AP10" s="917">
        <f>IF(ISNUMBER(((Datos!L10/Datos!K10)*11)/factor_trimestre),((Datos!L10/Datos!K10)*11)/factor_trimestre," - ")</f>
        <v>21.78846153846154</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7</v>
      </c>
      <c r="B12" s="746" t="s">
        <v>321</v>
      </c>
      <c r="C12" s="747" t="str">
        <f>Datos!A12</f>
        <v xml:space="preserve">Jdos. 1ª Instª. e Instr.                        </v>
      </c>
      <c r="D12" s="601"/>
      <c r="E12" s="904">
        <f>IF(ISNUMBER(Datos!AQ12),Datos!AQ12," - ")</f>
        <v>7</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1360</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1675</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6542</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1082</v>
      </c>
      <c r="AM12" s="914">
        <f>IF(ISNUMBER(Datos!N12+DatosP!N17),Datos!N12+DatosP!N17," - ")</f>
        <v>1679</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10.982193443949818</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-4.5938457051188569E-2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7</v>
      </c>
      <c r="F14" s="1256">
        <f t="shared" si="0"/>
        <v>90</v>
      </c>
      <c r="G14" s="1256">
        <f t="shared" si="0"/>
        <v>90</v>
      </c>
      <c r="H14" s="1256">
        <f t="shared" si="0"/>
        <v>0</v>
      </c>
      <c r="I14" s="1258">
        <f t="shared" si="0"/>
        <v>0</v>
      </c>
      <c r="J14" s="1257">
        <f t="shared" si="0"/>
        <v>0</v>
      </c>
      <c r="K14" s="1257">
        <f t="shared" si="0"/>
        <v>0</v>
      </c>
      <c r="L14" s="1259">
        <f t="shared" si="0"/>
        <v>0</v>
      </c>
      <c r="M14" s="1259">
        <f t="shared" si="0"/>
        <v>0</v>
      </c>
      <c r="N14" s="1257">
        <f t="shared" si="0"/>
        <v>1370</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52</v>
      </c>
      <c r="AC14" s="1257">
        <f t="shared" si="1"/>
        <v>0</v>
      </c>
      <c r="AD14" s="1257">
        <f t="shared" si="1"/>
        <v>1675</v>
      </c>
      <c r="AE14" s="1257">
        <f t="shared" si="1"/>
        <v>0</v>
      </c>
      <c r="AF14" s="1257">
        <f t="shared" si="1"/>
        <v>103</v>
      </c>
      <c r="AG14" s="1257">
        <f t="shared" si="1"/>
        <v>0</v>
      </c>
      <c r="AH14" s="1257">
        <f t="shared" si="1"/>
        <v>6542</v>
      </c>
      <c r="AI14" s="1257">
        <f t="shared" si="1"/>
        <v>0</v>
      </c>
      <c r="AJ14" s="1257">
        <f t="shared" si="1"/>
        <v>0</v>
      </c>
      <c r="AK14" s="1257">
        <f t="shared" si="1"/>
        <v>0</v>
      </c>
      <c r="AL14" s="1257">
        <f t="shared" si="1"/>
        <v>1113</v>
      </c>
      <c r="AM14" s="1257">
        <f t="shared" si="1"/>
        <v>1690</v>
      </c>
      <c r="AN14" s="1257">
        <f t="shared" si="1"/>
        <v>0</v>
      </c>
      <c r="AO14" s="1257">
        <f t="shared" si="1"/>
        <v>0</v>
      </c>
      <c r="AP14" s="1262">
        <f>IF(ISNUMBER(((Datos!L14/Datos!K14)*11)/factor_trimestre),((Datos!L14/Datos!K14)*11)/factor_trimestre," - ")</f>
        <v>11.609517601043025</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-0.57777777777777772</v>
      </c>
      <c r="AU14" s="1257" t="str">
        <f>IF(ISNUMBER((DatosP!#REF!-DatosP!#REF!+DatosP!#REF!)/(DatosP!#REF!+DatosP!#REF!-DatosP!#REF!-DatosP!#REF!)),(DatosP!#REF!-DatosP!#REF!+DatosP!#REF!)/(DatosP!#REF!+DatosP!#REF!-DatosP!#REF!-DatosP!#REF!)," - ")</f>
        <v xml:space="preserve"> - </v>
      </c>
      <c r="AV14" s="1263">
        <f>SUBTOTAL(9,AV9:AV13)</f>
        <v>-4.5938457051188569E-2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7</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4.5893373952779895</v>
      </c>
      <c r="AQ23" s="1262">
        <f>IF(ISNUMBER(((Datos!M23/Datos!L23)*11)/factor_trimestre),((Datos!M23/Datos!L23)*11)/factor_trimestre," - ")</f>
        <v>4.1285140562248994</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0.11298076923076923</v>
      </c>
      <c r="AW23" s="1265">
        <f>IF(ISNUMBER((Datos!Q23-Datos!R23)/(Datos!S23-Datos!Q23+Datos!R23)),(Datos!Q23-Datos!R23)/(Datos!S23-Datos!Q23+Datos!R23)," - ")</f>
        <v>-6.8025337372624617E-2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7</v>
      </c>
      <c r="F31" s="1278">
        <f t="shared" si="8"/>
        <v>90</v>
      </c>
      <c r="G31" s="1278">
        <f t="shared" si="8"/>
        <v>90</v>
      </c>
      <c r="H31" s="1278">
        <f t="shared" si="8"/>
        <v>0</v>
      </c>
      <c r="I31" s="1279">
        <f t="shared" si="8"/>
        <v>0</v>
      </c>
      <c r="J31" s="1280">
        <f t="shared" si="8"/>
        <v>0</v>
      </c>
      <c r="K31" s="1280">
        <f t="shared" si="8"/>
        <v>0</v>
      </c>
      <c r="L31" s="1280">
        <f t="shared" si="8"/>
        <v>0</v>
      </c>
      <c r="M31" s="1280">
        <f t="shared" si="8"/>
        <v>0</v>
      </c>
      <c r="N31" s="1279">
        <f t="shared" si="8"/>
        <v>1370</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52</v>
      </c>
      <c r="AC31" s="1284">
        <f t="shared" si="9"/>
        <v>0</v>
      </c>
      <c r="AD31" s="1284">
        <f t="shared" si="9"/>
        <v>1675</v>
      </c>
      <c r="AE31" s="1284">
        <f t="shared" si="9"/>
        <v>0</v>
      </c>
      <c r="AF31" s="1285">
        <f t="shared" si="9"/>
        <v>103</v>
      </c>
      <c r="AG31" s="1285">
        <f t="shared" si="9"/>
        <v>0</v>
      </c>
      <c r="AH31" s="1285">
        <f t="shared" si="9"/>
        <v>6542</v>
      </c>
      <c r="AI31" s="1285">
        <f t="shared" si="9"/>
        <v>0</v>
      </c>
      <c r="AJ31" s="1286">
        <f t="shared" si="9"/>
        <v>0</v>
      </c>
      <c r="AK31" s="1286">
        <f t="shared" si="9"/>
        <v>0</v>
      </c>
      <c r="AL31" s="1278">
        <f t="shared" si="9"/>
        <v>1113</v>
      </c>
      <c r="AM31" s="1278">
        <f t="shared" si="9"/>
        <v>1690</v>
      </c>
      <c r="AN31" s="1278">
        <f t="shared" si="9"/>
        <v>0</v>
      </c>
      <c r="AO31" s="1278">
        <f t="shared" si="9"/>
        <v>0</v>
      </c>
      <c r="AP31" s="1278">
        <f>IF(ISNUMBER(((Datos!L31/Datos!K31)*11)/factor_trimestre),((Datos!L31/Datos!K31)*11)/factor_trimestre," - ")</f>
        <v>7.4824035103429756</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-0.57777777777777772</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-3.6722389695807073E-2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36</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3.0867098629086893</v>
      </c>
      <c r="F33" s="1006">
        <f>IF(ISNUMBER(STDEV(F8:F30)),STDEV(F8:F30),"-")</f>
        <v>49.295030175464952</v>
      </c>
      <c r="G33" s="1007">
        <f>IF(ISNUMBER(STDEV(G8:G30)),STDEV(G8:G30),"-")</f>
        <v>49.295030175464952</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28.481572990268639</v>
      </c>
      <c r="AC33" s="1008">
        <f>IF(ISNUMBER(STDEV(AC8:AC30)),STDEV(AC8:AC30),"-")</f>
        <v>0</v>
      </c>
      <c r="AD33" s="1011"/>
      <c r="AE33" s="1011"/>
      <c r="AF33" s="1011"/>
      <c r="AG33" s="1011"/>
      <c r="AH33" s="1011"/>
      <c r="AI33" s="1011"/>
      <c r="AJ33" s="1012">
        <f>IF(ISNUMBER(STDEV(AJ8:AJ30)),STDEV(AJ8:AJ30),"-")</f>
        <v>0</v>
      </c>
      <c r="AK33" s="1014"/>
      <c r="AL33" s="1006">
        <f>IF(ISNUMBER(STDEV(AL8:AL30)),STDEV(AL8:AL30),"-")</f>
        <v>562.95790251136896</v>
      </c>
      <c r="AM33" s="1006"/>
      <c r="AN33" s="1006">
        <f>IF(ISNUMBER(STDEV(AN8:AN30)),STDEV(AN8:AN30),"-")</f>
        <v>0</v>
      </c>
      <c r="AO33" s="1012">
        <f>IF(ISNUMBER(STDEV(AO8:AO30)),STDEV(AO8:AO30),"-")</f>
        <v>0</v>
      </c>
      <c r="AP33" s="1065">
        <f>IF(ISNUMBER(STDEV(AP8:AP30)),STDEV(AP8:AP30),"-")</f>
        <v>7.1106802023595588</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ZizN+bhQ3dTR5FMBDSsTrJi6u9xxB71eVVCrMfXmLKiwRnc2XnbBZmYF3cnpb4JjyTXry8U6Vdco2r4IwfpUpA==" saltValue="uVREp6Ak7mJqlxh5DcfYd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